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6240" windowWidth="21660" windowHeight="3975"/>
  </bookViews>
  <sheets>
    <sheet name="dist'n panels" sheetId="6" r:id="rId1"/>
    <sheet name="indiv. panels" sheetId="1" r:id="rId2"/>
    <sheet name="mech loads" sheetId="5" r:id="rId3"/>
    <sheet name="MCC" sheetId="8" r:id="rId4"/>
    <sheet name="dim-cntl panel loads" sheetId="3" r:id="rId5"/>
    <sheet name="feeder schedule" sheetId="7" r:id="rId6"/>
  </sheets>
  <calcPr calcId="124519"/>
</workbook>
</file>

<file path=xl/calcChain.xml><?xml version="1.0" encoding="utf-8"?>
<calcChain xmlns="http://schemas.openxmlformats.org/spreadsheetml/2006/main">
  <c r="C69" i="1"/>
  <c r="I69"/>
  <c r="J69"/>
  <c r="K69"/>
  <c r="L69"/>
  <c r="X69"/>
  <c r="V68"/>
  <c r="W68" s="1"/>
  <c r="X68" s="1"/>
  <c r="U68"/>
  <c r="V67"/>
  <c r="W67" s="1"/>
  <c r="X67" s="1"/>
  <c r="U67"/>
  <c r="V66"/>
  <c r="W66" s="1"/>
  <c r="X66" s="1"/>
  <c r="U66"/>
  <c r="V65"/>
  <c r="W65" s="1"/>
  <c r="X65" s="1"/>
  <c r="U65"/>
  <c r="V64"/>
  <c r="W64" s="1"/>
  <c r="X64" s="1"/>
  <c r="U64"/>
  <c r="V63"/>
  <c r="W63" s="1"/>
  <c r="X63" s="1"/>
  <c r="U63"/>
  <c r="V62"/>
  <c r="W62" s="1"/>
  <c r="X62" s="1"/>
  <c r="U62"/>
  <c r="V61"/>
  <c r="W61" s="1"/>
  <c r="X61" s="1"/>
  <c r="U61"/>
  <c r="V60"/>
  <c r="W60" s="1"/>
  <c r="X60" s="1"/>
  <c r="U60"/>
  <c r="V59"/>
  <c r="W59" s="1"/>
  <c r="X59" s="1"/>
  <c r="U59"/>
  <c r="V58"/>
  <c r="W58" s="1"/>
  <c r="X58" s="1"/>
  <c r="U58"/>
  <c r="V57"/>
  <c r="W57" s="1"/>
  <c r="X57" s="1"/>
  <c r="U57"/>
  <c r="V56"/>
  <c r="W56" s="1"/>
  <c r="X56" s="1"/>
  <c r="U56"/>
  <c r="V55"/>
  <c r="W55" s="1"/>
  <c r="X55" s="1"/>
  <c r="U55"/>
  <c r="V54"/>
  <c r="W54" s="1"/>
  <c r="X54" s="1"/>
  <c r="U54"/>
  <c r="V53"/>
  <c r="W53" s="1"/>
  <c r="X53" s="1"/>
  <c r="U53"/>
  <c r="V52"/>
  <c r="W52" s="1"/>
  <c r="X52" s="1"/>
  <c r="U52"/>
  <c r="V51"/>
  <c r="W51" s="1"/>
  <c r="X51" s="1"/>
  <c r="U51"/>
  <c r="V50"/>
  <c r="W50" s="1"/>
  <c r="X50" s="1"/>
  <c r="U50"/>
  <c r="V49"/>
  <c r="W49" s="1"/>
  <c r="X49" s="1"/>
  <c r="U49"/>
  <c r="V48"/>
  <c r="W48" s="1"/>
  <c r="X48" s="1"/>
  <c r="U48"/>
  <c r="V47"/>
  <c r="W47" s="1"/>
  <c r="X47" s="1"/>
  <c r="U47"/>
  <c r="V46"/>
  <c r="W46" s="1"/>
  <c r="X46" s="1"/>
  <c r="U46"/>
  <c r="V45"/>
  <c r="W45" s="1"/>
  <c r="X45" s="1"/>
  <c r="U45"/>
  <c r="V44"/>
  <c r="W44" s="1"/>
  <c r="X44" s="1"/>
  <c r="U44"/>
  <c r="V43"/>
  <c r="W43" s="1"/>
  <c r="X43" s="1"/>
  <c r="U43"/>
  <c r="V42"/>
  <c r="W42" s="1"/>
  <c r="X42" s="1"/>
  <c r="U42"/>
  <c r="V41"/>
  <c r="W41" s="1"/>
  <c r="X41" s="1"/>
  <c r="U41"/>
  <c r="V40"/>
  <c r="W40" s="1"/>
  <c r="X40" s="1"/>
  <c r="U40"/>
  <c r="V39"/>
  <c r="W39" s="1"/>
  <c r="X39" s="1"/>
  <c r="U39"/>
  <c r="V38"/>
  <c r="W38" s="1"/>
  <c r="X38" s="1"/>
  <c r="U38"/>
  <c r="V37"/>
  <c r="W37" s="1"/>
  <c r="X37" s="1"/>
  <c r="U37"/>
  <c r="V36"/>
  <c r="W36" s="1"/>
  <c r="X36" s="1"/>
  <c r="U36"/>
  <c r="V35"/>
  <c r="W35" s="1"/>
  <c r="X35" s="1"/>
  <c r="U35"/>
  <c r="V34"/>
  <c r="W34" s="1"/>
  <c r="X34" s="1"/>
  <c r="U34"/>
  <c r="V33"/>
  <c r="W33" s="1"/>
  <c r="X33" s="1"/>
  <c r="U33"/>
  <c r="V32"/>
  <c r="W32" s="1"/>
  <c r="X32" s="1"/>
  <c r="U32"/>
  <c r="V31"/>
  <c r="W31" s="1"/>
  <c r="X31" s="1"/>
  <c r="U31"/>
  <c r="V30"/>
  <c r="W30" s="1"/>
  <c r="X30" s="1"/>
  <c r="U30"/>
  <c r="V29"/>
  <c r="W29" s="1"/>
  <c r="X29" s="1"/>
  <c r="U29"/>
  <c r="V28"/>
  <c r="W28" s="1"/>
  <c r="X28" s="1"/>
  <c r="U28"/>
  <c r="V27"/>
  <c r="W27" s="1"/>
  <c r="X27" s="1"/>
  <c r="U27"/>
  <c r="V26"/>
  <c r="W26" s="1"/>
  <c r="X26" s="1"/>
  <c r="U26"/>
  <c r="V25"/>
  <c r="W25" s="1"/>
  <c r="X25" s="1"/>
  <c r="U25"/>
  <c r="V24"/>
  <c r="W24" s="1"/>
  <c r="X24" s="1"/>
  <c r="U24"/>
  <c r="V23"/>
  <c r="W23" s="1"/>
  <c r="X23" s="1"/>
  <c r="U23"/>
  <c r="V22"/>
  <c r="W22" s="1"/>
  <c r="X22" s="1"/>
  <c r="U22"/>
  <c r="V21"/>
  <c r="W21" s="1"/>
  <c r="X21" s="1"/>
  <c r="U21"/>
  <c r="V20"/>
  <c r="W20" s="1"/>
  <c r="X20" s="1"/>
  <c r="U20"/>
  <c r="V19"/>
  <c r="W19" s="1"/>
  <c r="X19" s="1"/>
  <c r="U19"/>
  <c r="V18"/>
  <c r="W18" s="1"/>
  <c r="X18" s="1"/>
  <c r="U18"/>
  <c r="V17"/>
  <c r="W17" s="1"/>
  <c r="X17" s="1"/>
  <c r="U17"/>
  <c r="V16"/>
  <c r="W16" s="1"/>
  <c r="X16" s="1"/>
  <c r="U16"/>
  <c r="V15"/>
  <c r="W15" s="1"/>
  <c r="X15" s="1"/>
  <c r="U15"/>
  <c r="V14"/>
  <c r="W14" s="1"/>
  <c r="X14" s="1"/>
  <c r="U14"/>
  <c r="V13"/>
  <c r="W13" s="1"/>
  <c r="X13" s="1"/>
  <c r="U13"/>
  <c r="V12"/>
  <c r="W12" s="1"/>
  <c r="X12" s="1"/>
  <c r="U12"/>
  <c r="F9"/>
  <c r="G10"/>
  <c r="G11"/>
  <c r="G12"/>
  <c r="G13"/>
  <c r="G14"/>
  <c r="G15"/>
  <c r="G16"/>
  <c r="G17"/>
  <c r="G18"/>
  <c r="G19"/>
  <c r="G20"/>
  <c r="G21"/>
  <c r="G22"/>
  <c r="G23"/>
  <c r="G24"/>
  <c r="G27"/>
  <c r="G29"/>
  <c r="G30"/>
  <c r="G38"/>
  <c r="G43"/>
  <c r="G44"/>
  <c r="G45"/>
  <c r="G46"/>
  <c r="G47"/>
  <c r="G48"/>
  <c r="G49"/>
  <c r="G53"/>
  <c r="I21"/>
  <c r="J5"/>
  <c r="J6"/>
  <c r="J7"/>
  <c r="J8"/>
  <c r="K8" s="1"/>
  <c r="L8" s="1"/>
  <c r="J54"/>
  <c r="J55"/>
  <c r="K55" s="1"/>
  <c r="L55" s="1"/>
  <c r="J56"/>
  <c r="J57"/>
  <c r="K57" s="1"/>
  <c r="L57" s="1"/>
  <c r="J58"/>
  <c r="J59"/>
  <c r="J60"/>
  <c r="J61"/>
  <c r="J62"/>
  <c r="J63"/>
  <c r="J64"/>
  <c r="J65"/>
  <c r="J66"/>
  <c r="J67"/>
  <c r="J68"/>
  <c r="J4"/>
  <c r="K4" s="1"/>
  <c r="D24" i="6" s="1"/>
  <c r="F24" s="1"/>
  <c r="I6" i="1"/>
  <c r="I7"/>
  <c r="I8"/>
  <c r="I10"/>
  <c r="I11"/>
  <c r="I12"/>
  <c r="I25"/>
  <c r="I26"/>
  <c r="I28"/>
  <c r="I30"/>
  <c r="I31"/>
  <c r="I33"/>
  <c r="I34"/>
  <c r="I35"/>
  <c r="I36"/>
  <c r="I37"/>
  <c r="I38"/>
  <c r="I44"/>
  <c r="I45"/>
  <c r="I50"/>
  <c r="I54"/>
  <c r="I55"/>
  <c r="I56"/>
  <c r="I57"/>
  <c r="I58"/>
  <c r="I59"/>
  <c r="I60"/>
  <c r="I61"/>
  <c r="I62"/>
  <c r="I63"/>
  <c r="I64"/>
  <c r="I65"/>
  <c r="I66"/>
  <c r="I67"/>
  <c r="I68"/>
  <c r="I4"/>
  <c r="K6"/>
  <c r="L6" s="1"/>
  <c r="K7"/>
  <c r="L7" s="1"/>
  <c r="D9"/>
  <c r="E10"/>
  <c r="J10" s="1"/>
  <c r="E11"/>
  <c r="J11" s="1"/>
  <c r="E12"/>
  <c r="J12" s="1"/>
  <c r="E13"/>
  <c r="E14"/>
  <c r="E15"/>
  <c r="E16"/>
  <c r="J16" s="1"/>
  <c r="E17"/>
  <c r="E18"/>
  <c r="E19"/>
  <c r="E20"/>
  <c r="J20" s="1"/>
  <c r="E21"/>
  <c r="J21" s="1"/>
  <c r="E22"/>
  <c r="E23"/>
  <c r="E24"/>
  <c r="J24" s="1"/>
  <c r="E25"/>
  <c r="J25" s="1"/>
  <c r="E26"/>
  <c r="J26" s="1"/>
  <c r="E27"/>
  <c r="J27" s="1"/>
  <c r="E28"/>
  <c r="J28" s="1"/>
  <c r="E29"/>
  <c r="J29" s="1"/>
  <c r="E30"/>
  <c r="J30" s="1"/>
  <c r="E31"/>
  <c r="J31" s="1"/>
  <c r="E33"/>
  <c r="J33" s="1"/>
  <c r="E34"/>
  <c r="J34" s="1"/>
  <c r="E35"/>
  <c r="J35" s="1"/>
  <c r="E36"/>
  <c r="J36" s="1"/>
  <c r="E37"/>
  <c r="J37" s="1"/>
  <c r="E38"/>
  <c r="J38" s="1"/>
  <c r="E39"/>
  <c r="E40"/>
  <c r="E41"/>
  <c r="E44"/>
  <c r="J44" s="1"/>
  <c r="E45"/>
  <c r="J45" s="1"/>
  <c r="E46"/>
  <c r="E47"/>
  <c r="J47" s="1"/>
  <c r="E48"/>
  <c r="J48" s="1"/>
  <c r="E49"/>
  <c r="J49" s="1"/>
  <c r="E50"/>
  <c r="J50" s="1"/>
  <c r="E52"/>
  <c r="E9"/>
  <c r="C9"/>
  <c r="I9" s="1"/>
  <c r="F209" i="6"/>
  <c r="T10" i="1"/>
  <c r="U10" s="1"/>
  <c r="T9"/>
  <c r="D281" i="6" s="1"/>
  <c r="F281" s="1"/>
  <c r="T8" i="1"/>
  <c r="D284" i="6" s="1"/>
  <c r="F284" s="1"/>
  <c r="T7" i="1"/>
  <c r="D283" i="6" s="1"/>
  <c r="F283" s="1"/>
  <c r="R11" i="1"/>
  <c r="Q11"/>
  <c r="T6"/>
  <c r="D318" i="6" s="1"/>
  <c r="F318" s="1"/>
  <c r="T5" i="1"/>
  <c r="D319" i="6" s="1"/>
  <c r="F319" s="1"/>
  <c r="T4" i="1"/>
  <c r="D320" i="6" s="1"/>
  <c r="F320" s="1"/>
  <c r="S3" i="1"/>
  <c r="F304" i="6"/>
  <c r="R4" i="7"/>
  <c r="R5"/>
  <c r="R6"/>
  <c r="R3"/>
  <c r="O4"/>
  <c r="O5"/>
  <c r="O6"/>
  <c r="O3"/>
  <c r="D49" i="6"/>
  <c r="F49" s="1"/>
  <c r="E14" i="8"/>
  <c r="F245" i="6"/>
  <c r="D244"/>
  <c r="F221"/>
  <c r="E166"/>
  <c r="I14" i="5"/>
  <c r="I15"/>
  <c r="I16"/>
  <c r="I32"/>
  <c r="I33"/>
  <c r="I34"/>
  <c r="I38"/>
  <c r="I39"/>
  <c r="I40"/>
  <c r="I51"/>
  <c r="I52"/>
  <c r="I53"/>
  <c r="H67"/>
  <c r="I67" s="1"/>
  <c r="G66"/>
  <c r="H66" s="1"/>
  <c r="I66" s="1"/>
  <c r="G65"/>
  <c r="H65" s="1"/>
  <c r="I65" s="1"/>
  <c r="G64"/>
  <c r="H64" s="1"/>
  <c r="I64" s="1"/>
  <c r="H63"/>
  <c r="I63" s="1"/>
  <c r="H62"/>
  <c r="I62" s="1"/>
  <c r="G57"/>
  <c r="H57" s="1"/>
  <c r="I57" s="1"/>
  <c r="G56"/>
  <c r="H56" s="1"/>
  <c r="I56" s="1"/>
  <c r="G55"/>
  <c r="H55" s="1"/>
  <c r="I55" s="1"/>
  <c r="G54"/>
  <c r="H54" s="1"/>
  <c r="I54" s="1"/>
  <c r="G50"/>
  <c r="H50" s="1"/>
  <c r="I50" s="1"/>
  <c r="G49"/>
  <c r="H49" s="1"/>
  <c r="I49" s="1"/>
  <c r="G48"/>
  <c r="H48" s="1"/>
  <c r="I48" s="1"/>
  <c r="G47"/>
  <c r="H47" s="1"/>
  <c r="I47" s="1"/>
  <c r="G46"/>
  <c r="H46" s="1"/>
  <c r="I46" s="1"/>
  <c r="G45"/>
  <c r="H45" s="1"/>
  <c r="I45" s="1"/>
  <c r="G44"/>
  <c r="H44" s="1"/>
  <c r="I44" s="1"/>
  <c r="F46" i="6" s="1"/>
  <c r="G43" i="5"/>
  <c r="H43" s="1"/>
  <c r="I43" s="1"/>
  <c r="F45" i="6" s="1"/>
  <c r="G42" i="5"/>
  <c r="H42" s="1"/>
  <c r="I42" s="1"/>
  <c r="F44" i="6" s="1"/>
  <c r="G41" i="5"/>
  <c r="H41" s="1"/>
  <c r="I41" s="1"/>
  <c r="F43" i="6" s="1"/>
  <c r="G37" i="5"/>
  <c r="H37" s="1"/>
  <c r="I37" s="1"/>
  <c r="G36"/>
  <c r="H36" s="1"/>
  <c r="I36" s="1"/>
  <c r="G35"/>
  <c r="H35" s="1"/>
  <c r="I35" s="1"/>
  <c r="G31"/>
  <c r="H31" s="1"/>
  <c r="I31" s="1"/>
  <c r="G30"/>
  <c r="H30" s="1"/>
  <c r="I30" s="1"/>
  <c r="F222" i="6" s="1"/>
  <c r="G29" i="5"/>
  <c r="H29" s="1"/>
  <c r="I29" s="1"/>
  <c r="F239" i="6" s="1"/>
  <c r="G28" i="5"/>
  <c r="H28" s="1"/>
  <c r="I28" s="1"/>
  <c r="F244" i="6" s="1"/>
  <c r="G27" i="5"/>
  <c r="H27" s="1"/>
  <c r="I27" s="1"/>
  <c r="G26"/>
  <c r="H26" s="1"/>
  <c r="I26" s="1"/>
  <c r="F242" i="6" s="1"/>
  <c r="G25" i="5"/>
  <c r="H25" s="1"/>
  <c r="I25" s="1"/>
  <c r="F241" i="6" s="1"/>
  <c r="G24" i="5"/>
  <c r="H24" s="1"/>
  <c r="I24" s="1"/>
  <c r="F240" i="6" s="1"/>
  <c r="G23" i="5"/>
  <c r="H23" s="1"/>
  <c r="I23" s="1"/>
  <c r="G22"/>
  <c r="H22" s="1"/>
  <c r="I22" s="1"/>
  <c r="F238" i="6" s="1"/>
  <c r="G21" i="5"/>
  <c r="H21" s="1"/>
  <c r="I21" s="1"/>
  <c r="F213" i="6" s="1"/>
  <c r="G20" i="5"/>
  <c r="H20" s="1"/>
  <c r="I20" s="1"/>
  <c r="F212" i="6" s="1"/>
  <c r="G19" i="5"/>
  <c r="H19" s="1"/>
  <c r="I19" s="1"/>
  <c r="F211" i="6" s="1"/>
  <c r="G18" i="5"/>
  <c r="H18" s="1"/>
  <c r="I18" s="1"/>
  <c r="F210" i="6" s="1"/>
  <c r="G17" i="5"/>
  <c r="H17" s="1"/>
  <c r="I17" s="1"/>
  <c r="G13"/>
  <c r="H13" s="1"/>
  <c r="I13" s="1"/>
  <c r="F237" i="6" s="1"/>
  <c r="G12" i="5"/>
  <c r="H12" s="1"/>
  <c r="I12" s="1"/>
  <c r="F236" i="6" s="1"/>
  <c r="G11" i="5"/>
  <c r="H11" s="1"/>
  <c r="I11" s="1"/>
  <c r="F235" i="6" s="1"/>
  <c r="G10" i="5"/>
  <c r="H10" s="1"/>
  <c r="I10" s="1"/>
  <c r="F234" i="6" s="1"/>
  <c r="G9" i="5"/>
  <c r="H9" s="1"/>
  <c r="I9" s="1"/>
  <c r="F233" i="6" s="1"/>
  <c r="G8" i="5"/>
  <c r="H8" s="1"/>
  <c r="I8" s="1"/>
  <c r="F219" i="6" s="1"/>
  <c r="G7" i="5"/>
  <c r="H7" s="1"/>
  <c r="I7" s="1"/>
  <c r="F218" i="6" s="1"/>
  <c r="G6" i="5"/>
  <c r="H6" s="1"/>
  <c r="I6" s="1"/>
  <c r="F217" i="6" s="1"/>
  <c r="G5" i="5"/>
  <c r="H5" s="1"/>
  <c r="I5" s="1"/>
  <c r="F216" i="6" s="1"/>
  <c r="G4" i="5"/>
  <c r="H4" s="1"/>
  <c r="I4" s="1"/>
  <c r="F215" i="6" s="1"/>
  <c r="K56" i="1"/>
  <c r="L56" s="1"/>
  <c r="D110" i="6"/>
  <c r="F110" s="1"/>
  <c r="D111"/>
  <c r="F111" s="1"/>
  <c r="D67"/>
  <c r="F67" s="1"/>
  <c r="D68"/>
  <c r="F68" s="1"/>
  <c r="D69"/>
  <c r="F69" s="1"/>
  <c r="D108"/>
  <c r="F108" s="1"/>
  <c r="D109"/>
  <c r="F109" s="1"/>
  <c r="D91"/>
  <c r="F91" s="1"/>
  <c r="D90"/>
  <c r="F90" s="1"/>
  <c r="D89"/>
  <c r="F89" s="1"/>
  <c r="D88"/>
  <c r="F88" s="1"/>
  <c r="K54" i="1"/>
  <c r="L54" s="1"/>
  <c r="G130" i="3"/>
  <c r="O115"/>
  <c r="K115"/>
  <c r="G115"/>
  <c r="C115"/>
  <c r="O47"/>
  <c r="K47"/>
  <c r="G49"/>
  <c r="O88"/>
  <c r="K84"/>
  <c r="G84"/>
  <c r="C84"/>
  <c r="C26"/>
  <c r="G26"/>
  <c r="K26"/>
  <c r="O26"/>
  <c r="J13" i="1"/>
  <c r="J19"/>
  <c r="G39"/>
  <c r="G40"/>
  <c r="G41"/>
  <c r="J46"/>
  <c r="G9"/>
  <c r="J9" s="1"/>
  <c r="I5"/>
  <c r="E43"/>
  <c r="J43" s="1"/>
  <c r="E42"/>
  <c r="E51"/>
  <c r="J51" s="1"/>
  <c r="E32"/>
  <c r="E53"/>
  <c r="J53" s="1"/>
  <c r="C57" i="3"/>
  <c r="J251" i="6" l="1"/>
  <c r="J228"/>
  <c r="V5" i="1"/>
  <c r="W5" s="1"/>
  <c r="X5" s="1"/>
  <c r="V6"/>
  <c r="W6" s="1"/>
  <c r="X6" s="1"/>
  <c r="V7"/>
  <c r="W7" s="1"/>
  <c r="X7" s="1"/>
  <c r="V8"/>
  <c r="W8" s="1"/>
  <c r="X8" s="1"/>
  <c r="V10"/>
  <c r="W10" s="1"/>
  <c r="X10" s="1"/>
  <c r="D23" i="6"/>
  <c r="F23" s="1"/>
  <c r="U5" i="1"/>
  <c r="U6"/>
  <c r="U7"/>
  <c r="U8"/>
  <c r="L4"/>
  <c r="J40"/>
  <c r="K40" s="1"/>
  <c r="V4"/>
  <c r="U4"/>
  <c r="V9"/>
  <c r="W9" s="1"/>
  <c r="X9" s="1"/>
  <c r="U9"/>
  <c r="W4"/>
  <c r="X4" s="1"/>
  <c r="J32"/>
  <c r="J52"/>
  <c r="K52" s="1"/>
  <c r="J41"/>
  <c r="K41" s="1"/>
  <c r="J39"/>
  <c r="J23"/>
  <c r="J22"/>
  <c r="K22" s="1"/>
  <c r="J18"/>
  <c r="J17"/>
  <c r="J15"/>
  <c r="K15" s="1"/>
  <c r="J14"/>
  <c r="I53"/>
  <c r="I51"/>
  <c r="I49"/>
  <c r="I47"/>
  <c r="I43"/>
  <c r="I41"/>
  <c r="I39"/>
  <c r="I29"/>
  <c r="I27"/>
  <c r="I23"/>
  <c r="I19"/>
  <c r="I17"/>
  <c r="I15"/>
  <c r="I13"/>
  <c r="I52"/>
  <c r="I48"/>
  <c r="I46"/>
  <c r="I42"/>
  <c r="I40"/>
  <c r="I32"/>
  <c r="I24"/>
  <c r="I22"/>
  <c r="I20"/>
  <c r="I18"/>
  <c r="I16"/>
  <c r="I14"/>
  <c r="K49"/>
  <c r="K47"/>
  <c r="K45"/>
  <c r="K29"/>
  <c r="K24"/>
  <c r="K19"/>
  <c r="K17"/>
  <c r="K13"/>
  <c r="K11"/>
  <c r="K10"/>
  <c r="K48"/>
  <c r="K46"/>
  <c r="K39"/>
  <c r="K27"/>
  <c r="K23"/>
  <c r="K20"/>
  <c r="K18"/>
  <c r="K16"/>
  <c r="K14"/>
  <c r="K12"/>
  <c r="K50"/>
  <c r="K38"/>
  <c r="K37"/>
  <c r="K36"/>
  <c r="K35"/>
  <c r="K34"/>
  <c r="K33"/>
  <c r="K31"/>
  <c r="K30"/>
  <c r="K28"/>
  <c r="K26"/>
  <c r="K25"/>
  <c r="K21"/>
  <c r="K44"/>
  <c r="K32"/>
  <c r="K51"/>
  <c r="K53"/>
  <c r="K43"/>
  <c r="K9"/>
  <c r="S11"/>
  <c r="V11" s="1"/>
  <c r="W11" s="1"/>
  <c r="X11" s="1"/>
  <c r="C322" i="6"/>
  <c r="D302" s="1"/>
  <c r="C286"/>
  <c r="T3" i="1"/>
  <c r="T11" s="1"/>
  <c r="U11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D70" i="6"/>
  <c r="F70" s="1"/>
  <c r="D86"/>
  <c r="F86" s="1"/>
  <c r="D71"/>
  <c r="F71" s="1"/>
  <c r="D87"/>
  <c r="F87" s="1"/>
  <c r="G63" i="5"/>
  <c r="G67"/>
  <c r="G62"/>
  <c r="J42" i="1"/>
  <c r="L41" l="1"/>
  <c r="D65" i="6"/>
  <c r="F65" s="1"/>
  <c r="L40" i="1"/>
  <c r="D64" i="6"/>
  <c r="F64" s="1"/>
  <c r="L9" i="1"/>
  <c r="D106" i="6"/>
  <c r="F106" s="1"/>
  <c r="L53" i="1"/>
  <c r="D47" i="6"/>
  <c r="L32" i="1"/>
  <c r="D187" i="6"/>
  <c r="L21" i="1"/>
  <c r="D137" i="6"/>
  <c r="F137" s="1"/>
  <c r="L26" i="1"/>
  <c r="D157" i="6"/>
  <c r="F157" s="1"/>
  <c r="L30" i="1"/>
  <c r="D168" i="6"/>
  <c r="F168" s="1"/>
  <c r="L33" i="1"/>
  <c r="D186" i="6"/>
  <c r="F186" s="1"/>
  <c r="L35" i="1"/>
  <c r="D195" i="6"/>
  <c r="F195" s="1"/>
  <c r="L37" i="1"/>
  <c r="D197" i="6"/>
  <c r="F197" s="1"/>
  <c r="L50" i="1"/>
  <c r="D184" i="6"/>
  <c r="F184" s="1"/>
  <c r="L14" i="1"/>
  <c r="D93" i="6"/>
  <c r="F93" s="1"/>
  <c r="L18" i="1"/>
  <c r="D129" i="6"/>
  <c r="F129" s="1"/>
  <c r="L23" i="1"/>
  <c r="D139" i="6"/>
  <c r="F139" s="1"/>
  <c r="L39" i="1"/>
  <c r="D63" i="6"/>
  <c r="F63" s="1"/>
  <c r="L46" i="1"/>
  <c r="D126" i="6"/>
  <c r="F126" s="1"/>
  <c r="L10" i="1"/>
  <c r="D97" i="6"/>
  <c r="L13" i="1"/>
  <c r="D94" i="6"/>
  <c r="F94" s="1"/>
  <c r="L19" i="1"/>
  <c r="D128" i="6"/>
  <c r="F128" s="1"/>
  <c r="L29" i="1"/>
  <c r="D167" i="6"/>
  <c r="F167" s="1"/>
  <c r="L45" i="1"/>
  <c r="D107" i="6"/>
  <c r="F107" s="1"/>
  <c r="L49" i="1"/>
  <c r="D169" i="6"/>
  <c r="F169" s="1"/>
  <c r="L15" i="1"/>
  <c r="D104" i="6"/>
  <c r="F104" s="1"/>
  <c r="L43" i="1"/>
  <c r="D199" i="6"/>
  <c r="F199" s="1"/>
  <c r="L51" i="1"/>
  <c r="D198" i="6"/>
  <c r="L44" i="1"/>
  <c r="D92" i="6"/>
  <c r="F92" s="1"/>
  <c r="L25" i="1"/>
  <c r="D158" i="6"/>
  <c r="F158" s="1"/>
  <c r="L28" i="1"/>
  <c r="D166" i="6"/>
  <c r="F166" s="1"/>
  <c r="J175" s="1"/>
  <c r="D29" s="1"/>
  <c r="F29" s="1"/>
  <c r="L31" i="1"/>
  <c r="D188" i="6"/>
  <c r="F188" s="1"/>
  <c r="L34" i="1"/>
  <c r="D185" i="6"/>
  <c r="F185" s="1"/>
  <c r="L36" i="1"/>
  <c r="D196" i="6"/>
  <c r="F196" s="1"/>
  <c r="L38" i="1"/>
  <c r="D62" i="6"/>
  <c r="F62" s="1"/>
  <c r="L12" i="1"/>
  <c r="D95" i="6"/>
  <c r="F95" s="1"/>
  <c r="L16" i="1"/>
  <c r="D105" i="6"/>
  <c r="F105" s="1"/>
  <c r="L20" i="1"/>
  <c r="D127" i="6"/>
  <c r="F127" s="1"/>
  <c r="L27" i="1"/>
  <c r="D156" i="6"/>
  <c r="F156" s="1"/>
  <c r="L48" i="1"/>
  <c r="D155" i="6"/>
  <c r="F155" s="1"/>
  <c r="L11" i="1"/>
  <c r="D96" i="6"/>
  <c r="F96" s="1"/>
  <c r="L17" i="1"/>
  <c r="D130" i="6"/>
  <c r="F130" s="1"/>
  <c r="L24" i="1"/>
  <c r="D159" i="6"/>
  <c r="F159" s="1"/>
  <c r="L47" i="1"/>
  <c r="D140" i="6"/>
  <c r="F140" s="1"/>
  <c r="L22" i="1"/>
  <c r="D138" i="6"/>
  <c r="F138" s="1"/>
  <c r="L52" i="1"/>
  <c r="D66" i="6"/>
  <c r="F66" s="1"/>
  <c r="U69" i="1"/>
  <c r="V69"/>
  <c r="K5"/>
  <c r="K42"/>
  <c r="F302" i="6"/>
  <c r="C306" s="1"/>
  <c r="F97"/>
  <c r="J161" l="1"/>
  <c r="J99"/>
  <c r="D15" s="1"/>
  <c r="J77"/>
  <c r="J117"/>
  <c r="D25" s="1"/>
  <c r="F25" s="1"/>
  <c r="J132"/>
  <c r="D13" s="1"/>
  <c r="J146"/>
  <c r="D27" s="1"/>
  <c r="F27" s="1"/>
  <c r="L42" i="1"/>
  <c r="D183" i="6"/>
  <c r="F183" s="1"/>
  <c r="D12"/>
  <c r="L5" i="1"/>
  <c r="F187" i="6"/>
  <c r="F198"/>
  <c r="J204" s="1"/>
  <c r="D31" s="1"/>
  <c r="F31" s="1"/>
  <c r="F47"/>
  <c r="J57" s="1"/>
  <c r="F12" l="1"/>
  <c r="F13"/>
  <c r="J38"/>
  <c r="F10"/>
  <c r="D10"/>
  <c r="J190"/>
  <c r="F15"/>
  <c r="F8" l="1"/>
  <c r="D8"/>
  <c r="J18"/>
</calcChain>
</file>

<file path=xl/sharedStrings.xml><?xml version="1.0" encoding="utf-8"?>
<sst xmlns="http://schemas.openxmlformats.org/spreadsheetml/2006/main" count="1742" uniqueCount="414">
  <si>
    <t>PANEL</t>
  </si>
  <si>
    <t>LCP4L</t>
  </si>
  <si>
    <t>PEM2L</t>
  </si>
  <si>
    <t>PEM211</t>
  </si>
  <si>
    <t>P2L1</t>
  </si>
  <si>
    <t>D2111</t>
  </si>
  <si>
    <r>
      <rPr>
        <b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[VA]</t>
    </r>
  </si>
  <si>
    <t>D2112</t>
  </si>
  <si>
    <t>D2113</t>
  </si>
  <si>
    <t>D2114</t>
  </si>
  <si>
    <t>C2111</t>
  </si>
  <si>
    <t>C2112</t>
  </si>
  <si>
    <t>C2121</t>
  </si>
  <si>
    <t>C2122</t>
  </si>
  <si>
    <t>KP21</t>
  </si>
  <si>
    <t>LTG</t>
  </si>
  <si>
    <t>REC</t>
  </si>
  <si>
    <t>PLR2L</t>
  </si>
  <si>
    <t>LCP411</t>
  </si>
  <si>
    <t>LCP421</t>
  </si>
  <si>
    <t>LCP431</t>
  </si>
  <si>
    <t>LCP441</t>
  </si>
  <si>
    <t>P2L2</t>
  </si>
  <si>
    <t>P2L3</t>
  </si>
  <si>
    <t>P2L4</t>
  </si>
  <si>
    <t>PR2L1</t>
  </si>
  <si>
    <t>PR2L2</t>
  </si>
  <si>
    <t>P2111</t>
  </si>
  <si>
    <t>P2112</t>
  </si>
  <si>
    <t>P2113</t>
  </si>
  <si>
    <t>P2114</t>
  </si>
  <si>
    <t>P2115</t>
  </si>
  <si>
    <t>PR211</t>
  </si>
  <si>
    <t>P2121</t>
  </si>
  <si>
    <t>P2122</t>
  </si>
  <si>
    <t>PR212</t>
  </si>
  <si>
    <t>P2211</t>
  </si>
  <si>
    <t>P2212</t>
  </si>
  <si>
    <t>P2213</t>
  </si>
  <si>
    <t>P2214</t>
  </si>
  <si>
    <t>PR221</t>
  </si>
  <si>
    <t>P2221</t>
  </si>
  <si>
    <t>P2222</t>
  </si>
  <si>
    <t>P2223</t>
  </si>
  <si>
    <t>PR222</t>
  </si>
  <si>
    <t>P2311</t>
  </si>
  <si>
    <t>P2312</t>
  </si>
  <si>
    <t>P2313</t>
  </si>
  <si>
    <t>P2314</t>
  </si>
  <si>
    <t>PR231</t>
  </si>
  <si>
    <t>P2321</t>
  </si>
  <si>
    <t>P2322</t>
  </si>
  <si>
    <t>P2323</t>
  </si>
  <si>
    <t>PR232</t>
  </si>
  <si>
    <t>P2411</t>
  </si>
  <si>
    <t>P2412</t>
  </si>
  <si>
    <t>P2413</t>
  </si>
  <si>
    <t>P2414</t>
  </si>
  <si>
    <t>PR241</t>
  </si>
  <si>
    <t>P2421</t>
  </si>
  <si>
    <t>P2422</t>
  </si>
  <si>
    <t>P2423</t>
  </si>
  <si>
    <t>PR242</t>
  </si>
  <si>
    <t>P2P1</t>
  </si>
  <si>
    <t>P2P2</t>
  </si>
  <si>
    <t>PLR21</t>
  </si>
  <si>
    <t>PLR24</t>
  </si>
  <si>
    <t>PEM41</t>
  </si>
  <si>
    <t>PEM44</t>
  </si>
  <si>
    <t>EQUIPMENT</t>
  </si>
  <si>
    <t>TOTALS</t>
  </si>
  <si>
    <t>PANEL LOAD</t>
  </si>
  <si>
    <t>VOLTAGE</t>
  </si>
  <si>
    <t>--</t>
  </si>
  <si>
    <t>EQUIP'T</t>
  </si>
  <si>
    <t>208/120</t>
  </si>
  <si>
    <t>480/277</t>
  </si>
  <si>
    <t>D2L1</t>
  </si>
  <si>
    <t>D2L2</t>
  </si>
  <si>
    <t>D2L3</t>
  </si>
  <si>
    <t>C2L1</t>
  </si>
  <si>
    <t>C2L2</t>
  </si>
  <si>
    <t>LTL</t>
  </si>
  <si>
    <r>
      <rPr>
        <b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[W]</t>
    </r>
  </si>
  <si>
    <t>D2121</t>
  </si>
  <si>
    <t>D2122</t>
  </si>
  <si>
    <t>LT12</t>
  </si>
  <si>
    <t>RECEPTACLE</t>
  </si>
  <si>
    <r>
      <t xml:space="preserve">LTG
</t>
    </r>
    <r>
      <rPr>
        <sz val="10"/>
        <color theme="1"/>
        <rFont val="Calibri"/>
        <family val="2"/>
      </rPr>
      <t>[VA]</t>
    </r>
  </si>
  <si>
    <t>FAN COIL UNITS</t>
  </si>
  <si>
    <t>EQUIPMENT TYPE</t>
  </si>
  <si>
    <t>TAG</t>
  </si>
  <si>
    <t>VOLTS</t>
  </si>
  <si>
    <t>PHASE</t>
  </si>
  <si>
    <t>HZ</t>
  </si>
  <si>
    <t>AMPS</t>
  </si>
  <si>
    <t>TOTAL LOAD</t>
  </si>
  <si>
    <t>kW</t>
  </si>
  <si>
    <t>kVA</t>
  </si>
  <si>
    <t xml:space="preserve">
Fan Coil Unit</t>
  </si>
  <si>
    <t>FCU-1</t>
  </si>
  <si>
    <t>FCU-2</t>
  </si>
  <si>
    <t>FCU-3</t>
  </si>
  <si>
    <t>1/2 HP</t>
  </si>
  <si>
    <t>FCU-4</t>
  </si>
  <si>
    <t>1 HP</t>
  </si>
  <si>
    <t>FCU-5</t>
  </si>
  <si>
    <t>FCU-6</t>
  </si>
  <si>
    <t>AIR HANDLING UNITS (CHW)</t>
  </si>
  <si>
    <t>MHP</t>
  </si>
  <si>
    <t xml:space="preserve">
Air Handling Unit (CHW)
</t>
  </si>
  <si>
    <t>AHU-A</t>
  </si>
  <si>
    <t>AHU-B</t>
  </si>
  <si>
    <t>AHU-C</t>
  </si>
  <si>
    <t>AHU-D</t>
  </si>
  <si>
    <t>AHU-E</t>
  </si>
  <si>
    <t>AHU-F</t>
  </si>
  <si>
    <t>AHU-G</t>
  </si>
  <si>
    <t>AHU-H</t>
  </si>
  <si>
    <t>AHU-I</t>
  </si>
  <si>
    <t>AHU-J</t>
  </si>
  <si>
    <t>FANS</t>
  </si>
  <si>
    <t xml:space="preserve">
Fan</t>
  </si>
  <si>
    <t>RF-1</t>
  </si>
  <si>
    <t>RF-2</t>
  </si>
  <si>
    <t>RF-3</t>
  </si>
  <si>
    <t>RF-4</t>
  </si>
  <si>
    <t>RF-5</t>
  </si>
  <si>
    <t>RF-6</t>
  </si>
  <si>
    <t>RF-7</t>
  </si>
  <si>
    <t>RF-8</t>
  </si>
  <si>
    <t>RF-9</t>
  </si>
  <si>
    <t>RF-10</t>
  </si>
  <si>
    <t>EX-3</t>
  </si>
  <si>
    <t>EX-4</t>
  </si>
  <si>
    <t>EX-7</t>
  </si>
  <si>
    <t>EX-8</t>
  </si>
  <si>
    <t>SF-1</t>
  </si>
  <si>
    <t>PACKAGED HEATING/VENTILATING UNITS</t>
  </si>
  <si>
    <t>MHP
(FAN)</t>
  </si>
  <si>
    <t>Packaged Heating/Ventilating Unit</t>
  </si>
  <si>
    <t>HVU-1</t>
  </si>
  <si>
    <t>HVU-2a</t>
  </si>
  <si>
    <t>HVU-2b</t>
  </si>
  <si>
    <t>WATER PUMPS</t>
  </si>
  <si>
    <t xml:space="preserve">
Water Pump</t>
  </si>
  <si>
    <t>CHP-1</t>
  </si>
  <si>
    <t>CHP-2</t>
  </si>
  <si>
    <t>HWP-1</t>
  </si>
  <si>
    <t>HWP-2</t>
  </si>
  <si>
    <t>HWP-3</t>
  </si>
  <si>
    <t>1 ½</t>
  </si>
  <si>
    <t>HWP-4</t>
  </si>
  <si>
    <t>HWP-5</t>
  </si>
  <si>
    <t>HWP-6</t>
  </si>
  <si>
    <t>HWP-7</t>
  </si>
  <si>
    <t>HWP-8</t>
  </si>
  <si>
    <t>CABINET &amp; UNIT HEATERS</t>
  </si>
  <si>
    <t xml:space="preserve">
Cabinet &amp; Unit
Heater</t>
  </si>
  <si>
    <t>CUH-1</t>
  </si>
  <si>
    <t>CUH-2</t>
  </si>
  <si>
    <t>UH-1</t>
  </si>
  <si>
    <t>CUH-3</t>
  </si>
  <si>
    <t>DP211</t>
  </si>
  <si>
    <t>DESCRIPTION</t>
  </si>
  <si>
    <t>DIRECTORY</t>
  </si>
  <si>
    <t>DP212</t>
  </si>
  <si>
    <t>DP221</t>
  </si>
  <si>
    <t>DP222</t>
  </si>
  <si>
    <t>DP231</t>
  </si>
  <si>
    <t>DP232</t>
  </si>
  <si>
    <t>DP241</t>
  </si>
  <si>
    <t>DP242</t>
  </si>
  <si>
    <t>DP4L1</t>
  </si>
  <si>
    <t>DP4L2</t>
  </si>
  <si>
    <t>DP4L3</t>
  </si>
  <si>
    <t>DP2L</t>
  </si>
  <si>
    <t>DP4P1</t>
  </si>
  <si>
    <t>DP4P2</t>
  </si>
  <si>
    <t>DPLR2L</t>
  </si>
  <si>
    <t>MDPEM4L</t>
  </si>
  <si>
    <t>MDPLR4L</t>
  </si>
  <si>
    <t>SPARE</t>
  </si>
  <si>
    <t>SPACE</t>
  </si>
  <si>
    <t>Mech Lift</t>
  </si>
  <si>
    <t>MCC4L</t>
  </si>
  <si>
    <t>FEEDER SIZE</t>
  </si>
  <si>
    <t>DESIGNED</t>
  </si>
  <si>
    <t>a</t>
  </si>
  <si>
    <t>r</t>
  </si>
  <si>
    <t>CALCULATED</t>
  </si>
  <si>
    <t>LOAD</t>
  </si>
  <si>
    <t>BREAKER SIZE</t>
  </si>
  <si>
    <t>CONNCT'D</t>
  </si>
  <si>
    <t>TYPE</t>
  </si>
  <si>
    <t>Total Load</t>
  </si>
  <si>
    <t>Transformer</t>
  </si>
  <si>
    <t>Panel</t>
  </si>
  <si>
    <t>Feeder</t>
  </si>
  <si>
    <t>Main Breaker</t>
  </si>
  <si>
    <t>800AF / 600AT</t>
  </si>
  <si>
    <t>GROUND</t>
  </si>
  <si>
    <t>#</t>
  </si>
  <si>
    <t>1</t>
  </si>
  <si>
    <t>2</t>
  </si>
  <si>
    <t>3</t>
  </si>
  <si>
    <t>225AF/150AT</t>
  </si>
  <si>
    <t>150A/3P</t>
  </si>
  <si>
    <t>TO RACK 1 (UPS) IN</t>
  </si>
  <si>
    <t>SERVER ROOM (LL)</t>
  </si>
  <si>
    <t>480/277V, 3∅, 3W, 400A, 65KAIC</t>
  </si>
  <si>
    <t>480/277V, 3∅, 4W, 225A, 65KAIC</t>
  </si>
  <si>
    <t>T7</t>
  </si>
  <si>
    <t>T5</t>
  </si>
  <si>
    <t>75 kVA, 4160/480-277V, 3∅</t>
  </si>
  <si>
    <t>T4</t>
  </si>
  <si>
    <t>150 kVA, 4160/480-277V, 3∅</t>
  </si>
  <si>
    <t>10 (XFMR-ATS) / 18 (ATS-MDPEM4L)</t>
  </si>
  <si>
    <t>30 hp</t>
  </si>
  <si>
    <t>15 hp</t>
  </si>
  <si>
    <t>EX-9</t>
  </si>
  <si>
    <t>100AF/90AT</t>
  </si>
  <si>
    <t>100AF/50AT</t>
  </si>
  <si>
    <t>100AF/20AT</t>
  </si>
  <si>
    <t>225AF/200AT</t>
  </si>
  <si>
    <t>225AF/125AT</t>
  </si>
  <si>
    <t>100AF/60AT</t>
  </si>
  <si>
    <t>100AF/100AT</t>
  </si>
  <si>
    <t>ITEM</t>
  </si>
  <si>
    <t>Trash Compactor</t>
  </si>
  <si>
    <t>Kitchen Water Heater</t>
  </si>
  <si>
    <t>Water Booster Pumps</t>
  </si>
  <si>
    <t>75 hp</t>
  </si>
  <si>
    <t>100AF/30AT</t>
  </si>
  <si>
    <t>4-#6 &amp; 1-#10G, 1"C</t>
  </si>
  <si>
    <t>EX-10</t>
  </si>
  <si>
    <t>40 hp</t>
  </si>
  <si>
    <t>50 hp</t>
  </si>
  <si>
    <t>20 hp</t>
  </si>
  <si>
    <t>2.5 hp</t>
  </si>
  <si>
    <t>25 hp</t>
  </si>
  <si>
    <t>10 hp</t>
  </si>
  <si>
    <t>1.5 hp</t>
  </si>
  <si>
    <t>225AF/60AT</t>
  </si>
  <si>
    <t>100AF/70AT</t>
  </si>
  <si>
    <t>4-#12 &amp; 1-#12G, ¾"C</t>
  </si>
  <si>
    <t>3-#1 &amp; 1-#6G, 1½"C</t>
  </si>
  <si>
    <t>CON</t>
  </si>
  <si>
    <t>3-#3 &amp; 1-#6G, 1¼"C</t>
  </si>
  <si>
    <t>3-#6 &amp; 1-#8G, ¾"C</t>
  </si>
  <si>
    <t xml:space="preserve">3-#6 &amp; 1-#8G, ¾"C </t>
  </si>
  <si>
    <t xml:space="preserve">3-#10 &amp; 1-#10G, ¾"C </t>
  </si>
  <si>
    <t>3-#12 &amp; 1-#12G, ¾"C</t>
  </si>
  <si>
    <t>3-#2/0 &amp; 1-#4G, 2"C</t>
  </si>
  <si>
    <t>4-#10 &amp; 1-#10G, ¾"C</t>
  </si>
  <si>
    <t>3-#4 &amp; 1-#6G, 1"C</t>
  </si>
  <si>
    <t>3-#8 &amp; 1-#10G, ¾"C</t>
  </si>
  <si>
    <t>A</t>
  </si>
  <si>
    <t>4-#12 &amp; 1-#14G, ¾"C</t>
  </si>
  <si>
    <t>208/120V panel via T5</t>
  </si>
  <si>
    <t>DEMAND</t>
  </si>
  <si>
    <t>225AF/175AT</t>
  </si>
  <si>
    <t>100AF/3P</t>
  </si>
  <si>
    <t>400AF/300AT</t>
  </si>
  <si>
    <t>208/277 V</t>
  </si>
  <si>
    <t>PF</t>
  </si>
  <si>
    <t>120 V</t>
  </si>
  <si>
    <t>208/120 V</t>
  </si>
  <si>
    <t>480/277 V</t>
  </si>
  <si>
    <t>HP</t>
  </si>
  <si>
    <t>KW</t>
  </si>
  <si>
    <t>FLA</t>
  </si>
  <si>
    <t>HV-1</t>
  </si>
  <si>
    <t>-</t>
  </si>
  <si>
    <t>TOTAL</t>
  </si>
  <si>
    <t>3-#1/0 &amp; 1-#6G, 1½”C</t>
  </si>
  <si>
    <t>4-250 kcmil &amp; 1-#4G, 3”C</t>
  </si>
  <si>
    <t>PRI</t>
  </si>
  <si>
    <t>SEC</t>
  </si>
  <si>
    <t>3-#1/0 &amp; 1-#6G, 1½”C
4-250 kcmil &amp; 1-#4G, 3”C</t>
  </si>
  <si>
    <t>3-350 kcmil &amp; 1-#4G, 3”C</t>
  </si>
  <si>
    <t>4-250 kcmil &amp; 2-#2G, 3”C</t>
  </si>
  <si>
    <t>3-#4 &amp;1-#10G, 1”C</t>
  </si>
  <si>
    <t>4-#1 &amp; 1-#8G, 1½”C</t>
  </si>
  <si>
    <t>Motor Control Center</t>
  </si>
  <si>
    <t>Water Pump</t>
  </si>
  <si>
    <t>FEEDER - 480 V, 3Ø, 3W</t>
  </si>
  <si>
    <t>½</t>
  </si>
  <si>
    <t>3#12 &amp; 1#12G - ¾"C</t>
  </si>
  <si>
    <t>¾</t>
  </si>
  <si>
    <t>1½</t>
  </si>
  <si>
    <t>5</t>
  </si>
  <si>
    <t>7½</t>
  </si>
  <si>
    <t>3#10 &amp; 1#10G - ¾"C</t>
  </si>
  <si>
    <t>10</t>
  </si>
  <si>
    <t>15</t>
  </si>
  <si>
    <t>3#8 &amp; 1#10G - ¾"C</t>
  </si>
  <si>
    <t>20</t>
  </si>
  <si>
    <t>3#6 &amp; 1#8G - ¾"C</t>
  </si>
  <si>
    <t>25</t>
  </si>
  <si>
    <t>30</t>
  </si>
  <si>
    <t>3#4 &amp; 1#6G - 1"C</t>
  </si>
  <si>
    <t>40</t>
  </si>
  <si>
    <t>3#3 &amp; 1#6G - 1¼"C</t>
  </si>
  <si>
    <t>50</t>
  </si>
  <si>
    <t>3#1 &amp; 1#6G - 1½"C</t>
  </si>
  <si>
    <t>60</t>
  </si>
  <si>
    <t>3#1/0 &amp; 1#6G - 1½"C</t>
  </si>
  <si>
    <t>75</t>
  </si>
  <si>
    <t>3#2/0 &amp; 1#4G - 2"C</t>
  </si>
  <si>
    <t>100</t>
  </si>
  <si>
    <t>3#3/0 &amp; 1#3G - 2"C</t>
  </si>
  <si>
    <t>125</t>
  </si>
  <si>
    <t>3#4/0 &amp; 1#3G - 2"C</t>
  </si>
  <si>
    <t>FEEDER</t>
  </si>
  <si>
    <t>CONDUIT</t>
  </si>
  <si>
    <t>NOM.  AMP RATING</t>
  </si>
  <si>
    <t>№</t>
  </si>
  <si>
    <t>3 -#4</t>
  </si>
  <si>
    <t>1 -#10</t>
  </si>
  <si>
    <t>1 - 1"</t>
  </si>
  <si>
    <t>4 -#4</t>
  </si>
  <si>
    <t>1 - 1¼"</t>
  </si>
  <si>
    <t>1 -#8</t>
  </si>
  <si>
    <t>3 -#1</t>
  </si>
  <si>
    <t>1 - 1½"</t>
  </si>
  <si>
    <t>4 -#1</t>
  </si>
  <si>
    <t>3 -#1/0</t>
  </si>
  <si>
    <t>1 -#6</t>
  </si>
  <si>
    <t>4 -#1/0</t>
  </si>
  <si>
    <t>1 - 2"</t>
  </si>
  <si>
    <t>3 -#2/0</t>
  </si>
  <si>
    <t>4 -#2/0</t>
  </si>
  <si>
    <t>3 -#3/0</t>
  </si>
  <si>
    <t>4 -#3/0</t>
  </si>
  <si>
    <t>3 -#4/0</t>
  </si>
  <si>
    <t>1 -#4</t>
  </si>
  <si>
    <t>4 -#4/0</t>
  </si>
  <si>
    <t>1 - 2½"</t>
  </si>
  <si>
    <t>3 - 250 kcmil</t>
  </si>
  <si>
    <t>4 - 250 kcmil</t>
  </si>
  <si>
    <t>1 - 3"</t>
  </si>
  <si>
    <t>3 - 350 kcmil</t>
  </si>
  <si>
    <t>4 - 350 kcmil</t>
  </si>
  <si>
    <t>3 - 500 kcmil</t>
  </si>
  <si>
    <t>1 -#3</t>
  </si>
  <si>
    <t>1 - 3½"</t>
  </si>
  <si>
    <t>4 - 500 kcmil</t>
  </si>
  <si>
    <t>1 - 4"</t>
  </si>
  <si>
    <t>3 - 600 kcmil</t>
  </si>
  <si>
    <t>4 - 600 kcmil</t>
  </si>
  <si>
    <t>6 - 250 kcmil</t>
  </si>
  <si>
    <t>2 -#2</t>
  </si>
  <si>
    <t>2 - 2½"</t>
  </si>
  <si>
    <t>8 - 250 kcmil</t>
  </si>
  <si>
    <t>2 - 3"</t>
  </si>
  <si>
    <t>6 - 350 kcmil</t>
  </si>
  <si>
    <t>2 -#1</t>
  </si>
  <si>
    <t>8 - 350 kcmil</t>
  </si>
  <si>
    <t>6 - 600 kcmil</t>
  </si>
  <si>
    <t>2 -#1/0</t>
  </si>
  <si>
    <t>2 - 3½"</t>
  </si>
  <si>
    <t>8 - 600 kcmil</t>
  </si>
  <si>
    <t>2 -#2/0</t>
  </si>
  <si>
    <t>2 - 4"</t>
  </si>
  <si>
    <t>9 - 400 kcmil</t>
  </si>
  <si>
    <t>3 - 3"</t>
  </si>
  <si>
    <t>12 - 400 kcmil</t>
  </si>
  <si>
    <t>9 - 600 kcmil</t>
  </si>
  <si>
    <t>3 - 3½"</t>
  </si>
  <si>
    <t>12 - 600 kcmil</t>
  </si>
  <si>
    <t>4 - 3½"</t>
  </si>
  <si>
    <t>16 - 600 kcmil</t>
  </si>
  <si>
    <t>4 - 4"</t>
  </si>
  <si>
    <t>NOTE: ALL CONDUCTOR SIZES ARE FOR COPPER CONDUCTORS. N.E.C. TABLE 310-16</t>
  </si>
  <si>
    <t>10 (150 A)*</t>
  </si>
  <si>
    <t>2 (60 A)*</t>
  </si>
  <si>
    <t>12 (175 A)*</t>
  </si>
  <si>
    <t>1 (60 A)*</t>
  </si>
  <si>
    <t>6 (100 A)*</t>
  </si>
  <si>
    <t>8 (125 A)*</t>
  </si>
  <si>
    <t>BREAKER</t>
  </si>
  <si>
    <t>208/120 V panel via T5</t>
  </si>
  <si>
    <t>208/120 V panel via T7</t>
  </si>
  <si>
    <t>208/120 V panel via T3</t>
  </si>
  <si>
    <t>Fan</t>
  </si>
  <si>
    <t>Air Handling Unit</t>
  </si>
  <si>
    <t>Panel via T4</t>
  </si>
  <si>
    <t>Elevator #1</t>
  </si>
  <si>
    <t>Elevator #2</t>
  </si>
  <si>
    <t>Elevator #3</t>
  </si>
  <si>
    <t>Smoke Evacuation Fan</t>
  </si>
  <si>
    <t>9 (150 A)**</t>
  </si>
  <si>
    <t>100AF/80AT</t>
  </si>
  <si>
    <t>250AF/150AT</t>
  </si>
  <si>
    <t>PRIMARY</t>
  </si>
  <si>
    <t>SECONDARY</t>
  </si>
  <si>
    <t>T3</t>
  </si>
  <si>
    <t>Dry</t>
  </si>
  <si>
    <t>3-#3 &amp; 1-#8G, 1¼”C</t>
  </si>
  <si>
    <t>4-#1/0 &amp; 1-#6G, 2”C</t>
  </si>
  <si>
    <r>
      <t xml:space="preserve">SIZE
</t>
    </r>
    <r>
      <rPr>
        <sz val="10"/>
        <color theme="1"/>
        <rFont val="Calibri"/>
        <family val="2"/>
      </rPr>
      <t>[kVA]</t>
    </r>
  </si>
  <si>
    <t>208/120 V panel via T4</t>
  </si>
  <si>
    <t>CONNCTD</t>
  </si>
  <si>
    <t>5 hp</t>
  </si>
  <si>
    <t>208/120V, 3∅, 4W, 10kAIC</t>
  </si>
  <si>
    <t>XMFR</t>
  </si>
  <si>
    <t>MAIN BKR</t>
  </si>
  <si>
    <t>TOTAL LOADS</t>
  </si>
  <si>
    <t>TOT LOAD</t>
  </si>
  <si>
    <t>CONCT'D</t>
  </si>
  <si>
    <t xml:space="preserve">PANEL </t>
  </si>
  <si>
    <t>5 (100 A)*</t>
  </si>
  <si>
    <t>`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</si>
</sst>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#,###\ &quot;VA&quot;"/>
    <numFmt numFmtId="166" formatCode="#,###\ &quot;W&quot;"/>
    <numFmt numFmtId="167" formatCode="#,##0.0\ &quot;kW&quot;"/>
    <numFmt numFmtId="168" formatCode="#,##0.00\ &quot;kW&quot;"/>
    <numFmt numFmtId="171" formatCode="#,###\ &quot;kVA&quot;"/>
    <numFmt numFmtId="172" formatCode="_(* #,##0_);_(* \(#,##0\);_(* &quot;-&quot;??_);_(@_)"/>
    <numFmt numFmtId="173" formatCode="0.000"/>
    <numFmt numFmtId="174" formatCode="0.0"/>
    <numFmt numFmtId="175" formatCode="#,###\ &quot;A&quot;"/>
    <numFmt numFmtId="176" formatCode="#\ &quot;V&quot;"/>
    <numFmt numFmtId="177" formatCode="#,###.0\ &quot;A&quot;"/>
    <numFmt numFmtId="178" formatCode="#,###.00\ &quot;A&quot;"/>
    <numFmt numFmtId="179" formatCode="#,##0\ &quot;kW&quot;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</font>
    <font>
      <b/>
      <sz val="11"/>
      <color theme="4" tint="-0.249977111117893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FF0000"/>
      <name val="Webdings"/>
      <family val="1"/>
      <charset val="2"/>
    </font>
    <font>
      <i/>
      <sz val="12"/>
      <color rgb="FF00B050"/>
      <name val="Webdings"/>
      <family val="1"/>
      <charset val="2"/>
    </font>
    <font>
      <b/>
      <sz val="12"/>
      <color theme="1"/>
      <name val="Calibri"/>
      <family val="2"/>
    </font>
    <font>
      <i/>
      <sz val="14"/>
      <color theme="1"/>
      <name val="Webdings"/>
      <family val="1"/>
      <charset val="2"/>
    </font>
    <font>
      <i/>
      <sz val="10"/>
      <color rgb="FFFF0000"/>
      <name val="Webdings"/>
      <family val="1"/>
      <charset val="2"/>
    </font>
    <font>
      <i/>
      <sz val="14"/>
      <color theme="1"/>
      <name val="Calibri"/>
      <family val="2"/>
    </font>
    <font>
      <i/>
      <sz val="12"/>
      <color rgb="FF00B05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Franklin Gothic Dem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</fills>
  <borders count="2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double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2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2" borderId="0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64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6" fontId="5" fillId="0" borderId="19" xfId="0" applyNumberFormat="1" applyFont="1" applyBorder="1" applyAlignment="1">
      <alignment horizontal="center" vertical="center"/>
    </xf>
    <xf numFmtId="166" fontId="5" fillId="0" borderId="18" xfId="0" applyNumberFormat="1" applyFont="1" applyBorder="1" applyAlignment="1">
      <alignment horizontal="center" vertical="center"/>
    </xf>
    <xf numFmtId="166" fontId="5" fillId="0" borderId="16" xfId="0" applyNumberFormat="1" applyFont="1" applyBorder="1" applyAlignment="1">
      <alignment horizontal="center" vertical="center"/>
    </xf>
    <xf numFmtId="166" fontId="5" fillId="0" borderId="27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6" fontId="5" fillId="0" borderId="32" xfId="0" quotePrefix="1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vertical="center"/>
    </xf>
    <xf numFmtId="166" fontId="7" fillId="0" borderId="29" xfId="0" applyNumberFormat="1" applyFont="1" applyBorder="1" applyAlignment="1">
      <alignment vertical="center"/>
    </xf>
    <xf numFmtId="166" fontId="5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6" fontId="5" fillId="0" borderId="36" xfId="0" applyNumberFormat="1" applyFont="1" applyBorder="1" applyAlignment="1">
      <alignment horizontal="center" vertical="center"/>
    </xf>
    <xf numFmtId="166" fontId="5" fillId="0" borderId="37" xfId="0" applyNumberFormat="1" applyFont="1" applyBorder="1" applyAlignment="1">
      <alignment horizontal="center" vertical="center"/>
    </xf>
    <xf numFmtId="164" fontId="5" fillId="0" borderId="38" xfId="0" quotePrefix="1" applyNumberFormat="1" applyFont="1" applyBorder="1" applyAlignment="1">
      <alignment horizontal="center" vertical="center"/>
    </xf>
    <xf numFmtId="166" fontId="7" fillId="0" borderId="39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164" fontId="5" fillId="0" borderId="0" xfId="0" quotePrefix="1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68" fontId="5" fillId="0" borderId="0" xfId="0" applyNumberFormat="1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top" wrapText="1"/>
    </xf>
    <xf numFmtId="172" fontId="3" fillId="0" borderId="19" xfId="1" applyNumberFormat="1" applyFont="1" applyBorder="1" applyAlignment="1">
      <alignment horizontal="center" vertical="center"/>
    </xf>
    <xf numFmtId="172" fontId="5" fillId="0" borderId="16" xfId="1" applyNumberFormat="1" applyFont="1" applyBorder="1" applyAlignment="1">
      <alignment horizontal="center" vertical="center"/>
    </xf>
    <xf numFmtId="172" fontId="5" fillId="0" borderId="16" xfId="1" quotePrefix="1" applyNumberFormat="1" applyFont="1" applyBorder="1" applyAlignment="1">
      <alignment horizontal="center" vertical="center"/>
    </xf>
    <xf numFmtId="172" fontId="5" fillId="0" borderId="23" xfId="1" quotePrefix="1" applyNumberFormat="1" applyFont="1" applyBorder="1" applyAlignment="1">
      <alignment horizontal="center" vertical="center"/>
    </xf>
    <xf numFmtId="172" fontId="5" fillId="0" borderId="58" xfId="1" quotePrefix="1" applyNumberFormat="1" applyFont="1" applyBorder="1" applyAlignment="1">
      <alignment horizontal="center" vertical="center"/>
    </xf>
    <xf numFmtId="172" fontId="5" fillId="0" borderId="59" xfId="1" quotePrefix="1" applyNumberFormat="1" applyFont="1" applyBorder="1" applyAlignment="1">
      <alignment horizontal="center" vertical="center"/>
    </xf>
    <xf numFmtId="172" fontId="5" fillId="0" borderId="16" xfId="1" applyNumberFormat="1" applyFont="1" applyBorder="1" applyAlignment="1">
      <alignment horizontal="right" vertical="center"/>
    </xf>
    <xf numFmtId="172" fontId="3" fillId="0" borderId="19" xfId="1" applyNumberFormat="1" applyFont="1" applyBorder="1" applyAlignment="1">
      <alignment horizontal="right" vertical="center"/>
    </xf>
    <xf numFmtId="172" fontId="5" fillId="0" borderId="16" xfId="1" quotePrefix="1" applyNumberFormat="1" applyFont="1" applyBorder="1" applyAlignment="1">
      <alignment horizontal="right" vertical="center"/>
    </xf>
    <xf numFmtId="0" fontId="0" fillId="0" borderId="13" xfId="0" applyBorder="1"/>
    <xf numFmtId="0" fontId="9" fillId="3" borderId="50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3" fontId="2" fillId="0" borderId="0" xfId="0" applyNumberFormat="1" applyFont="1" applyBorder="1" applyAlignment="1">
      <alignment horizontal="center" vertical="center" wrapText="1"/>
    </xf>
    <xf numFmtId="173" fontId="2" fillId="0" borderId="63" xfId="0" applyNumberFormat="1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173" fontId="2" fillId="0" borderId="65" xfId="0" applyNumberFormat="1" applyFont="1" applyBorder="1" applyAlignment="1">
      <alignment horizontal="center" vertical="center" wrapText="1"/>
    </xf>
    <xf numFmtId="173" fontId="2" fillId="0" borderId="66" xfId="0" applyNumberFormat="1" applyFont="1" applyBorder="1" applyAlignment="1">
      <alignment horizontal="center" vertical="center" wrapText="1"/>
    </xf>
    <xf numFmtId="16" fontId="2" fillId="0" borderId="64" xfId="0" applyNumberFormat="1" applyFont="1" applyBorder="1" applyAlignment="1">
      <alignment horizontal="center" vertical="center" wrapText="1"/>
    </xf>
    <xf numFmtId="173" fontId="2" fillId="0" borderId="67" xfId="0" applyNumberFormat="1" applyFont="1" applyBorder="1" applyAlignment="1">
      <alignment horizontal="center" vertical="center" wrapText="1"/>
    </xf>
    <xf numFmtId="173" fontId="2" fillId="0" borderId="68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73" fontId="2" fillId="0" borderId="69" xfId="0" applyNumberFormat="1" applyFont="1" applyBorder="1" applyAlignment="1">
      <alignment horizontal="center" vertical="center" wrapText="1"/>
    </xf>
    <xf numFmtId="173" fontId="2" fillId="0" borderId="70" xfId="0" applyNumberFormat="1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1" fontId="5" fillId="0" borderId="73" xfId="0" applyNumberFormat="1" applyFont="1" applyBorder="1" applyAlignment="1">
      <alignment horizontal="center" vertical="center" wrapText="1"/>
    </xf>
    <xf numFmtId="1" fontId="5" fillId="0" borderId="74" xfId="0" applyNumberFormat="1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174" fontId="5" fillId="0" borderId="65" xfId="0" applyNumberFormat="1" applyFont="1" applyBorder="1" applyAlignment="1">
      <alignment horizontal="center" vertical="center" wrapText="1"/>
    </xf>
    <xf numFmtId="174" fontId="5" fillId="0" borderId="67" xfId="0" applyNumberFormat="1" applyFont="1" applyBorder="1" applyAlignment="1">
      <alignment horizontal="center" vertical="center" wrapText="1"/>
    </xf>
    <xf numFmtId="1" fontId="5" fillId="0" borderId="65" xfId="0" applyNumberFormat="1" applyFont="1" applyBorder="1" applyAlignment="1">
      <alignment horizontal="center" vertical="center" wrapText="1"/>
    </xf>
    <xf numFmtId="1" fontId="5" fillId="0" borderId="67" xfId="0" applyNumberFormat="1" applyFont="1" applyBorder="1" applyAlignment="1">
      <alignment horizontal="center" vertical="center" wrapText="1"/>
    </xf>
    <xf numFmtId="1" fontId="5" fillId="0" borderId="68" xfId="0" applyNumberFormat="1" applyFont="1" applyBorder="1" applyAlignment="1">
      <alignment horizontal="center" vertical="center" wrapText="1"/>
    </xf>
    <xf numFmtId="174" fontId="5" fillId="0" borderId="69" xfId="0" applyNumberFormat="1" applyFont="1" applyBorder="1" applyAlignment="1">
      <alignment horizontal="center" vertical="center" wrapText="1"/>
    </xf>
    <xf numFmtId="174" fontId="5" fillId="0" borderId="7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174" fontId="5" fillId="0" borderId="3" xfId="0" applyNumberFormat="1" applyFont="1" applyBorder="1" applyAlignment="1">
      <alignment horizontal="center" vertical="center" wrapText="1"/>
    </xf>
    <xf numFmtId="174" fontId="5" fillId="0" borderId="75" xfId="0" applyNumberFormat="1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174" fontId="5" fillId="0" borderId="7" xfId="0" applyNumberFormat="1" applyFont="1" applyBorder="1" applyAlignment="1">
      <alignment horizontal="center" vertical="center" wrapText="1"/>
    </xf>
    <xf numFmtId="174" fontId="5" fillId="0" borderId="77" xfId="0" applyNumberFormat="1" applyFont="1" applyBorder="1" applyAlignment="1">
      <alignment horizontal="center" vertical="center" wrapText="1"/>
    </xf>
    <xf numFmtId="174" fontId="2" fillId="0" borderId="0" xfId="0" applyNumberFormat="1" applyFont="1" applyBorder="1" applyAlignment="1">
      <alignment horizontal="center" vertical="center" wrapText="1"/>
    </xf>
    <xf numFmtId="174" fontId="2" fillId="0" borderId="66" xfId="0" applyNumberFormat="1" applyFont="1" applyBorder="1" applyAlignment="1">
      <alignment horizontal="center" vertical="center" wrapText="1"/>
    </xf>
    <xf numFmtId="174" fontId="2" fillId="0" borderId="65" xfId="0" applyNumberFormat="1" applyFont="1" applyBorder="1" applyAlignment="1">
      <alignment horizontal="center" vertical="center" wrapText="1"/>
    </xf>
    <xf numFmtId="174" fontId="2" fillId="0" borderId="67" xfId="0" applyNumberFormat="1" applyFont="1" applyBorder="1" applyAlignment="1">
      <alignment horizontal="center" vertical="center" wrapText="1"/>
    </xf>
    <xf numFmtId="174" fontId="2" fillId="0" borderId="68" xfId="0" applyNumberFormat="1" applyFont="1" applyBorder="1" applyAlignment="1">
      <alignment horizontal="center" vertical="center" wrapText="1"/>
    </xf>
    <xf numFmtId="174" fontId="2" fillId="0" borderId="69" xfId="0" applyNumberFormat="1" applyFont="1" applyBorder="1" applyAlignment="1">
      <alignment horizontal="center" vertical="center" wrapText="1"/>
    </xf>
    <xf numFmtId="174" fontId="2" fillId="0" borderId="70" xfId="0" applyNumberFormat="1" applyFont="1" applyBorder="1" applyAlignment="1">
      <alignment horizontal="center" vertical="center" wrapText="1"/>
    </xf>
    <xf numFmtId="174" fontId="2" fillId="0" borderId="3" xfId="0" applyNumberFormat="1" applyFont="1" applyBorder="1" applyAlignment="1">
      <alignment horizontal="center" vertical="center" wrapText="1"/>
    </xf>
    <xf numFmtId="174" fontId="2" fillId="0" borderId="75" xfId="0" applyNumberFormat="1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2" fontId="2" fillId="0" borderId="69" xfId="0" applyNumberFormat="1" applyFont="1" applyBorder="1" applyAlignment="1">
      <alignment horizontal="center" vertical="center" wrapText="1"/>
    </xf>
    <xf numFmtId="2" fontId="2" fillId="0" borderId="7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5" xfId="0" applyNumberFormat="1" applyFont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/>
    </xf>
    <xf numFmtId="2" fontId="2" fillId="0" borderId="81" xfId="0" applyNumberFormat="1" applyFont="1" applyBorder="1" applyAlignment="1">
      <alignment horizontal="center" vertical="center" wrapText="1"/>
    </xf>
    <xf numFmtId="2" fontId="2" fillId="0" borderId="8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66" xfId="0" applyNumberFormat="1" applyFont="1" applyBorder="1" applyAlignment="1">
      <alignment horizontal="center" vertical="center" wrapText="1"/>
    </xf>
    <xf numFmtId="2" fontId="5" fillId="0" borderId="83" xfId="0" applyNumberFormat="1" applyFont="1" applyBorder="1" applyAlignment="1">
      <alignment horizontal="center" vertical="center" wrapText="1"/>
    </xf>
    <xf numFmtId="2" fontId="5" fillId="0" borderId="70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77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66" xfId="0" applyNumberFormat="1" applyFont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12" fontId="5" fillId="0" borderId="49" xfId="0" applyNumberFormat="1" applyFont="1" applyBorder="1" applyAlignment="1">
      <alignment horizontal="center"/>
    </xf>
    <xf numFmtId="2" fontId="5" fillId="0" borderId="65" xfId="0" applyNumberFormat="1" applyFont="1" applyBorder="1" applyAlignment="1">
      <alignment horizontal="center" vertical="center" wrapText="1"/>
    </xf>
    <xf numFmtId="2" fontId="5" fillId="0" borderId="67" xfId="0" applyNumberFormat="1" applyFont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12" fontId="5" fillId="0" borderId="80" xfId="0" applyNumberFormat="1" applyFont="1" applyBorder="1" applyAlignment="1">
      <alignment horizontal="center"/>
    </xf>
    <xf numFmtId="2" fontId="5" fillId="0" borderId="84" xfId="0" applyNumberFormat="1" applyFont="1" applyBorder="1" applyAlignment="1">
      <alignment horizontal="center" vertical="center" wrapText="1"/>
    </xf>
    <xf numFmtId="2" fontId="5" fillId="0" borderId="82" xfId="0" applyNumberFormat="1" applyFont="1" applyBorder="1" applyAlignment="1">
      <alignment horizontal="center" vertical="center" wrapText="1"/>
    </xf>
    <xf numFmtId="0" fontId="0" fillId="0" borderId="85" xfId="0" applyBorder="1"/>
    <xf numFmtId="12" fontId="5" fillId="0" borderId="1" xfId="0" applyNumberFormat="1" applyFont="1" applyBorder="1" applyAlignment="1">
      <alignment horizontal="center" vertical="center" wrapText="1"/>
    </xf>
    <xf numFmtId="173" fontId="5" fillId="0" borderId="0" xfId="0" applyNumberFormat="1" applyFont="1" applyBorder="1" applyAlignment="1">
      <alignment horizontal="center" vertical="center" wrapText="1"/>
    </xf>
    <xf numFmtId="173" fontId="5" fillId="0" borderId="66" xfId="0" applyNumberFormat="1" applyFont="1" applyBorder="1" applyAlignment="1">
      <alignment horizontal="center" vertical="center" wrapText="1"/>
    </xf>
    <xf numFmtId="12" fontId="5" fillId="0" borderId="49" xfId="0" applyNumberFormat="1" applyFont="1" applyBorder="1" applyAlignment="1">
      <alignment horizontal="center" vertical="center" wrapText="1"/>
    </xf>
    <xf numFmtId="173" fontId="5" fillId="0" borderId="65" xfId="0" applyNumberFormat="1" applyFont="1" applyBorder="1" applyAlignment="1">
      <alignment horizontal="center" vertical="center" wrapText="1"/>
    </xf>
    <xf numFmtId="173" fontId="5" fillId="0" borderId="67" xfId="0" applyNumberFormat="1" applyFont="1" applyBorder="1" applyAlignment="1">
      <alignment horizontal="center" vertical="center" wrapText="1"/>
    </xf>
    <xf numFmtId="12" fontId="5" fillId="0" borderId="80" xfId="0" applyNumberFormat="1" applyFont="1" applyFill="1" applyBorder="1" applyAlignment="1">
      <alignment horizontal="center" vertical="center" wrapText="1"/>
    </xf>
    <xf numFmtId="173" fontId="5" fillId="0" borderId="81" xfId="0" applyNumberFormat="1" applyFont="1" applyBorder="1" applyAlignment="1">
      <alignment horizontal="center" vertical="center" wrapText="1"/>
    </xf>
    <xf numFmtId="173" fontId="5" fillId="0" borderId="82" xfId="0" applyNumberFormat="1" applyFont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center" wrapText="1"/>
    </xf>
    <xf numFmtId="12" fontId="5" fillId="5" borderId="9" xfId="0" applyNumberFormat="1" applyFont="1" applyFill="1" applyBorder="1" applyAlignment="1">
      <alignment horizontal="center" vertical="center" wrapText="1"/>
    </xf>
    <xf numFmtId="2" fontId="5" fillId="5" borderId="9" xfId="0" applyNumberFormat="1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top" wrapText="1"/>
    </xf>
    <xf numFmtId="0" fontId="9" fillId="3" borderId="61" xfId="0" applyFont="1" applyFill="1" applyBorder="1" applyAlignment="1">
      <alignment horizontal="center" vertical="top" wrapText="1"/>
    </xf>
    <xf numFmtId="172" fontId="2" fillId="0" borderId="18" xfId="1" applyNumberFormat="1" applyFont="1" applyBorder="1" applyAlignment="1">
      <alignment horizontal="right" vertical="center"/>
    </xf>
    <xf numFmtId="172" fontId="2" fillId="0" borderId="15" xfId="1" applyNumberFormat="1" applyFont="1" applyBorder="1" applyAlignment="1">
      <alignment horizontal="right" vertical="center"/>
    </xf>
    <xf numFmtId="0" fontId="0" fillId="0" borderId="40" xfId="0" applyBorder="1" applyAlignment="1">
      <alignment horizontal="right"/>
    </xf>
    <xf numFmtId="0" fontId="1" fillId="0" borderId="87" xfId="0" applyFont="1" applyBorder="1" applyAlignment="1">
      <alignment vertical="top"/>
    </xf>
    <xf numFmtId="0" fontId="0" fillId="0" borderId="88" xfId="0" applyBorder="1" applyAlignment="1">
      <alignment horizontal="center" wrapText="1"/>
    </xf>
    <xf numFmtId="0" fontId="0" fillId="0" borderId="91" xfId="0" applyBorder="1" applyAlignment="1">
      <alignment horizontal="right"/>
    </xf>
    <xf numFmtId="0" fontId="0" fillId="2" borderId="6" xfId="0" applyFill="1" applyBorder="1" applyAlignment="1">
      <alignment horizontal="center" wrapText="1"/>
    </xf>
    <xf numFmtId="0" fontId="0" fillId="2" borderId="9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/>
    <xf numFmtId="0" fontId="1" fillId="0" borderId="89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9" fillId="6" borderId="50" xfId="0" applyFont="1" applyFill="1" applyBorder="1" applyAlignment="1">
      <alignment horizontal="center" vertical="center" wrapText="1"/>
    </xf>
    <xf numFmtId="0" fontId="9" fillId="6" borderId="61" xfId="0" applyFont="1" applyFill="1" applyBorder="1" applyAlignment="1">
      <alignment horizontal="center" vertical="center" wrapText="1"/>
    </xf>
    <xf numFmtId="0" fontId="0" fillId="6" borderId="68" xfId="0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9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horizontal="left" vertical="center"/>
    </xf>
    <xf numFmtId="0" fontId="5" fillId="0" borderId="7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6" borderId="95" xfId="0" applyFont="1" applyFill="1" applyBorder="1" applyAlignment="1">
      <alignment horizontal="center" wrapText="1"/>
    </xf>
    <xf numFmtId="0" fontId="4" fillId="6" borderId="61" xfId="0" applyFont="1" applyFill="1" applyBorder="1" applyAlignment="1">
      <alignment horizontal="left" wrapText="1"/>
    </xf>
    <xf numFmtId="0" fontId="4" fillId="6" borderId="61" xfId="0" applyFont="1" applyFill="1" applyBorder="1" applyAlignment="1">
      <alignment horizontal="center" wrapText="1"/>
    </xf>
    <xf numFmtId="0" fontId="5" fillId="0" borderId="120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2" borderId="108" xfId="0" applyFont="1" applyFill="1" applyBorder="1" applyAlignment="1">
      <alignment horizontal="center" vertical="center"/>
    </xf>
    <xf numFmtId="0" fontId="5" fillId="2" borderId="94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120" xfId="0" applyFont="1" applyFill="1" applyBorder="1" applyAlignment="1">
      <alignment horizontal="center" vertical="center"/>
    </xf>
    <xf numFmtId="0" fontId="5" fillId="2" borderId="92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5" fillId="0" borderId="70" xfId="0" applyNumberFormat="1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4" fillId="6" borderId="99" xfId="0" applyFont="1" applyFill="1" applyBorder="1" applyAlignment="1">
      <alignment horizontal="center" vertical="top" wrapText="1"/>
    </xf>
    <xf numFmtId="0" fontId="5" fillId="0" borderId="6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5" fillId="0" borderId="94" xfId="0" applyNumberFormat="1" applyFont="1" applyBorder="1" applyAlignment="1">
      <alignment horizontal="center" vertical="center"/>
    </xf>
    <xf numFmtId="0" fontId="14" fillId="6" borderId="61" xfId="0" applyFont="1" applyFill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176" fontId="5" fillId="0" borderId="70" xfId="0" applyNumberFormat="1" applyFont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166" fontId="5" fillId="2" borderId="92" xfId="0" applyNumberFormat="1" applyFont="1" applyFill="1" applyBorder="1" applyAlignment="1">
      <alignment horizontal="center" vertical="center"/>
    </xf>
    <xf numFmtId="166" fontId="5" fillId="2" borderId="94" xfId="0" applyNumberFormat="1" applyFont="1" applyFill="1" applyBorder="1" applyAlignment="1">
      <alignment horizontal="center" vertical="center"/>
    </xf>
    <xf numFmtId="166" fontId="5" fillId="0" borderId="94" xfId="0" applyNumberFormat="1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5" fillId="0" borderId="117" xfId="0" applyFont="1" applyBorder="1" applyAlignment="1">
      <alignment vertical="center"/>
    </xf>
    <xf numFmtId="0" fontId="5" fillId="0" borderId="8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4" fillId="6" borderId="4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3" xfId="0" applyNumberFormat="1" applyFont="1" applyBorder="1" applyAlignment="1">
      <alignment horizontal="center" vertical="center"/>
    </xf>
    <xf numFmtId="2" fontId="5" fillId="0" borderId="8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2" borderId="83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5" fillId="2" borderId="8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4" fillId="6" borderId="145" xfId="0" applyFont="1" applyFill="1" applyBorder="1" applyAlignment="1">
      <alignment horizontal="center" wrapText="1"/>
    </xf>
    <xf numFmtId="0" fontId="5" fillId="2" borderId="1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12" fillId="2" borderId="146" xfId="0" applyFont="1" applyFill="1" applyBorder="1" applyAlignment="1">
      <alignment horizontal="center" vertical="center"/>
    </xf>
    <xf numFmtId="0" fontId="12" fillId="2" borderId="147" xfId="0" applyFont="1" applyFill="1" applyBorder="1" applyAlignment="1">
      <alignment horizontal="center" vertical="center"/>
    </xf>
    <xf numFmtId="0" fontId="11" fillId="2" borderId="147" xfId="0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0" fontId="5" fillId="2" borderId="121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0" fontId="12" fillId="0" borderId="82" xfId="0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2" fillId="0" borderId="146" xfId="0" applyFont="1" applyBorder="1" applyAlignment="1">
      <alignment horizontal="center" vertical="center"/>
    </xf>
    <xf numFmtId="0" fontId="11" fillId="0" borderId="147" xfId="0" applyFont="1" applyBorder="1" applyAlignment="1">
      <alignment horizontal="center" vertical="center"/>
    </xf>
    <xf numFmtId="0" fontId="12" fillId="0" borderId="149" xfId="0" applyFont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12" fillId="0" borderId="150" xfId="0" applyFont="1" applyBorder="1" applyAlignment="1">
      <alignment horizontal="center" vertical="center"/>
    </xf>
    <xf numFmtId="0" fontId="12" fillId="2" borderId="149" xfId="0" applyFont="1" applyFill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2" borderId="117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6" borderId="42" xfId="0" applyFont="1" applyFill="1" applyBorder="1" applyAlignment="1">
      <alignment horizontal="center" vertical="center"/>
    </xf>
    <xf numFmtId="0" fontId="17" fillId="2" borderId="83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8" fillId="2" borderId="83" xfId="0" applyFont="1" applyFill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12" fillId="0" borderId="157" xfId="0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/>
    </xf>
    <xf numFmtId="0" fontId="5" fillId="0" borderId="158" xfId="0" applyFont="1" applyBorder="1" applyAlignment="1">
      <alignment horizontal="center" vertical="center"/>
    </xf>
    <xf numFmtId="0" fontId="12" fillId="0" borderId="15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2" fillId="0" borderId="163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wrapText="1"/>
    </xf>
    <xf numFmtId="0" fontId="11" fillId="0" borderId="157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 wrapText="1"/>
    </xf>
    <xf numFmtId="0" fontId="5" fillId="0" borderId="158" xfId="0" applyFont="1" applyBorder="1" applyAlignment="1">
      <alignment horizontal="center" vertical="center" wrapText="1"/>
    </xf>
    <xf numFmtId="0" fontId="11" fillId="0" borderId="159" xfId="0" applyFont="1" applyBorder="1" applyAlignment="1">
      <alignment horizontal="center" vertical="center"/>
    </xf>
    <xf numFmtId="0" fontId="3" fillId="0" borderId="162" xfId="0" applyFont="1" applyBorder="1" applyAlignment="1">
      <alignment horizontal="center" vertical="center"/>
    </xf>
    <xf numFmtId="175" fontId="4" fillId="6" borderId="61" xfId="0" applyNumberFormat="1" applyFont="1" applyFill="1" applyBorder="1" applyAlignment="1">
      <alignment horizontal="center" wrapText="1"/>
    </xf>
    <xf numFmtId="175" fontId="5" fillId="0" borderId="75" xfId="0" applyNumberFormat="1" applyFont="1" applyBorder="1" applyAlignment="1">
      <alignment horizontal="center" vertical="center"/>
    </xf>
    <xf numFmtId="175" fontId="5" fillId="0" borderId="70" xfId="0" applyNumberFormat="1" applyFont="1" applyBorder="1" applyAlignment="1">
      <alignment horizontal="center" vertical="center"/>
    </xf>
    <xf numFmtId="175" fontId="5" fillId="2" borderId="70" xfId="0" applyNumberFormat="1" applyFont="1" applyFill="1" applyBorder="1" applyAlignment="1">
      <alignment horizontal="center" vertical="center"/>
    </xf>
    <xf numFmtId="177" fontId="5" fillId="0" borderId="70" xfId="0" applyNumberFormat="1" applyFont="1" applyBorder="1" applyAlignment="1">
      <alignment horizontal="center" vertical="center"/>
    </xf>
    <xf numFmtId="178" fontId="5" fillId="0" borderId="70" xfId="0" applyNumberFormat="1" applyFont="1" applyBorder="1" applyAlignment="1">
      <alignment horizontal="center" vertical="center"/>
    </xf>
    <xf numFmtId="177" fontId="5" fillId="0" borderId="75" xfId="0" applyNumberFormat="1" applyFont="1" applyBorder="1" applyAlignment="1">
      <alignment horizontal="center" vertical="center"/>
    </xf>
    <xf numFmtId="175" fontId="5" fillId="2" borderId="82" xfId="0" applyNumberFormat="1" applyFont="1" applyFill="1" applyBorder="1" applyAlignment="1">
      <alignment horizontal="center" vertical="center"/>
    </xf>
    <xf numFmtId="175" fontId="5" fillId="2" borderId="75" xfId="0" applyNumberFormat="1" applyFont="1" applyFill="1" applyBorder="1" applyAlignment="1">
      <alignment horizontal="center" vertical="center"/>
    </xf>
    <xf numFmtId="0" fontId="5" fillId="0" borderId="69" xfId="0" applyFont="1" applyBorder="1" applyAlignment="1">
      <alignment vertical="center"/>
    </xf>
    <xf numFmtId="0" fontId="5" fillId="0" borderId="122" xfId="0" applyFont="1" applyBorder="1" applyAlignment="1">
      <alignment vertical="center"/>
    </xf>
    <xf numFmtId="0" fontId="19" fillId="0" borderId="69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vertical="center"/>
    </xf>
    <xf numFmtId="49" fontId="10" fillId="6" borderId="107" xfId="0" applyNumberFormat="1" applyFont="1" applyFill="1" applyBorder="1" applyAlignment="1">
      <alignment horizontal="center" vertical="center" wrapText="1"/>
    </xf>
    <xf numFmtId="49" fontId="2" fillId="0" borderId="165" xfId="0" applyNumberFormat="1" applyFont="1" applyFill="1" applyBorder="1" applyAlignment="1">
      <alignment horizontal="center" vertical="center"/>
    </xf>
    <xf numFmtId="49" fontId="2" fillId="0" borderId="166" xfId="0" applyNumberFormat="1" applyFont="1" applyFill="1" applyBorder="1" applyAlignment="1">
      <alignment horizontal="center" vertical="center"/>
    </xf>
    <xf numFmtId="49" fontId="2" fillId="0" borderId="168" xfId="0" applyNumberFormat="1" applyFont="1" applyFill="1" applyBorder="1" applyAlignment="1">
      <alignment horizontal="center" vertical="center"/>
    </xf>
    <xf numFmtId="0" fontId="20" fillId="7" borderId="68" xfId="0" applyFont="1" applyFill="1" applyBorder="1" applyAlignment="1">
      <alignment horizontal="center" vertical="center" wrapText="1"/>
    </xf>
    <xf numFmtId="0" fontId="20" fillId="7" borderId="72" xfId="0" applyFont="1" applyFill="1" applyBorder="1" applyAlignment="1">
      <alignment horizontal="center" vertical="center" wrapText="1"/>
    </xf>
    <xf numFmtId="0" fontId="21" fillId="7" borderId="30" xfId="0" applyFont="1" applyFill="1" applyBorder="1" applyAlignment="1">
      <alignment horizontal="center" vertical="center" wrapText="1"/>
    </xf>
    <xf numFmtId="0" fontId="21" fillId="7" borderId="25" xfId="0" applyFont="1" applyFill="1" applyBorder="1" applyAlignment="1">
      <alignment horizontal="center" vertical="center" wrapText="1"/>
    </xf>
    <xf numFmtId="0" fontId="20" fillId="0" borderId="55" xfId="0" applyFont="1" applyBorder="1" applyAlignment="1">
      <alignment horizontal="center"/>
    </xf>
    <xf numFmtId="0" fontId="22" fillId="0" borderId="55" xfId="0" applyFont="1" applyBorder="1" applyAlignment="1">
      <alignment horizontal="center"/>
    </xf>
    <xf numFmtId="0" fontId="22" fillId="0" borderId="56" xfId="0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53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0" borderId="170" xfId="0" applyFont="1" applyBorder="1" applyAlignment="1">
      <alignment horizontal="center"/>
    </xf>
    <xf numFmtId="0" fontId="22" fillId="0" borderId="158" xfId="0" applyFont="1" applyBorder="1" applyAlignment="1">
      <alignment horizontal="center"/>
    </xf>
    <xf numFmtId="0" fontId="22" fillId="0" borderId="139" xfId="0" applyFont="1" applyBorder="1" applyAlignment="1">
      <alignment horizontal="center"/>
    </xf>
    <xf numFmtId="0" fontId="20" fillId="0" borderId="139" xfId="0" applyFont="1" applyBorder="1" applyAlignment="1">
      <alignment horizontal="center"/>
    </xf>
    <xf numFmtId="0" fontId="22" fillId="0" borderId="4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5" fillId="0" borderId="124" xfId="0" applyFont="1" applyBorder="1" applyAlignment="1">
      <alignment vertical="center"/>
    </xf>
    <xf numFmtId="0" fontId="14" fillId="6" borderId="172" xfId="0" applyFont="1" applyFill="1" applyBorder="1" applyAlignment="1">
      <alignment horizontal="center" vertical="center"/>
    </xf>
    <xf numFmtId="0" fontId="14" fillId="6" borderId="176" xfId="0" applyFont="1" applyFill="1" applyBorder="1" applyAlignment="1">
      <alignment horizontal="center" vertical="center"/>
    </xf>
    <xf numFmtId="0" fontId="15" fillId="0" borderId="148" xfId="0" applyFont="1" applyBorder="1" applyAlignment="1">
      <alignment horizontal="center" vertical="center"/>
    </xf>
    <xf numFmtId="0" fontId="15" fillId="0" borderId="149" xfId="0" applyFont="1" applyBorder="1" applyAlignment="1">
      <alignment horizontal="center" vertical="center"/>
    </xf>
    <xf numFmtId="0" fontId="5" fillId="0" borderId="178" xfId="0" applyFont="1" applyBorder="1" applyAlignment="1">
      <alignment horizontal="center" vertical="center"/>
    </xf>
    <xf numFmtId="176" fontId="5" fillId="0" borderId="82" xfId="0" applyNumberFormat="1" applyFont="1" applyBorder="1" applyAlignment="1">
      <alignment horizontal="center" vertical="center"/>
    </xf>
    <xf numFmtId="166" fontId="5" fillId="0" borderId="84" xfId="0" applyNumberFormat="1" applyFont="1" applyBorder="1" applyAlignment="1">
      <alignment horizontal="center" vertical="center"/>
    </xf>
    <xf numFmtId="2" fontId="5" fillId="0" borderId="117" xfId="0" applyNumberFormat="1" applyFont="1" applyBorder="1" applyAlignment="1">
      <alignment horizontal="center" vertical="center"/>
    </xf>
    <xf numFmtId="177" fontId="5" fillId="0" borderId="82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2" borderId="147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121" xfId="0" applyFont="1" applyFill="1" applyBorder="1" applyAlignment="1">
      <alignment horizontal="center" vertical="center"/>
    </xf>
    <xf numFmtId="0" fontId="19" fillId="2" borderId="69" xfId="0" applyFont="1" applyFill="1" applyBorder="1" applyAlignment="1">
      <alignment horizontal="center" vertical="center"/>
    </xf>
    <xf numFmtId="0" fontId="19" fillId="2" borderId="122" xfId="0" applyFont="1" applyFill="1" applyBorder="1" applyAlignment="1">
      <alignment horizontal="center" vertical="center"/>
    </xf>
    <xf numFmtId="0" fontId="5" fillId="2" borderId="178" xfId="0" applyFont="1" applyFill="1" applyBorder="1" applyAlignment="1">
      <alignment horizontal="center" vertical="center"/>
    </xf>
    <xf numFmtId="0" fontId="5" fillId="2" borderId="150" xfId="0" applyFont="1" applyFill="1" applyBorder="1" applyAlignment="1">
      <alignment horizontal="center" vertical="center"/>
    </xf>
    <xf numFmtId="0" fontId="5" fillId="2" borderId="117" xfId="0" applyNumberFormat="1" applyFont="1" applyFill="1" applyBorder="1" applyAlignment="1">
      <alignment horizontal="center" vertical="center"/>
    </xf>
    <xf numFmtId="2" fontId="5" fillId="2" borderId="117" xfId="0" applyNumberFormat="1" applyFont="1" applyFill="1" applyBorder="1" applyAlignment="1">
      <alignment horizontal="center" vertical="center"/>
    </xf>
    <xf numFmtId="0" fontId="12" fillId="2" borderId="82" xfId="0" applyFont="1" applyFill="1" applyBorder="1" applyAlignment="1">
      <alignment horizontal="center" vertical="center"/>
    </xf>
    <xf numFmtId="0" fontId="12" fillId="2" borderId="152" xfId="0" applyFont="1" applyFill="1" applyBorder="1" applyAlignment="1">
      <alignment horizontal="center" vertical="center"/>
    </xf>
    <xf numFmtId="0" fontId="19" fillId="0" borderId="93" xfId="0" applyFont="1" applyBorder="1" applyAlignment="1">
      <alignment horizontal="center" vertical="center"/>
    </xf>
    <xf numFmtId="0" fontId="19" fillId="0" borderId="156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/>
    </xf>
    <xf numFmtId="0" fontId="19" fillId="0" borderId="158" xfId="0" applyFont="1" applyBorder="1" applyAlignment="1">
      <alignment horizontal="center" vertical="center"/>
    </xf>
    <xf numFmtId="0" fontId="22" fillId="0" borderId="182" xfId="0" applyFont="1" applyBorder="1" applyAlignment="1">
      <alignment horizontal="center" wrapText="1"/>
    </xf>
    <xf numFmtId="0" fontId="22" fillId="0" borderId="183" xfId="0" applyFont="1" applyBorder="1" applyAlignment="1">
      <alignment horizontal="center" wrapText="1"/>
    </xf>
    <xf numFmtId="0" fontId="22" fillId="0" borderId="186" xfId="0" applyFont="1" applyBorder="1" applyAlignment="1">
      <alignment horizontal="center" wrapText="1"/>
    </xf>
    <xf numFmtId="0" fontId="22" fillId="0" borderId="187" xfId="0" applyFont="1" applyBorder="1" applyAlignment="1">
      <alignment horizontal="center" wrapText="1"/>
    </xf>
    <xf numFmtId="0" fontId="9" fillId="7" borderId="190" xfId="0" applyFont="1" applyFill="1" applyBorder="1" applyAlignment="1">
      <alignment horizontal="center" vertical="center" wrapText="1"/>
    </xf>
    <xf numFmtId="0" fontId="9" fillId="7" borderId="188" xfId="0" applyFont="1" applyFill="1" applyBorder="1" applyAlignment="1">
      <alignment horizontal="center" vertical="center" wrapText="1"/>
    </xf>
    <xf numFmtId="0" fontId="9" fillId="7" borderId="193" xfId="0" applyFont="1" applyFill="1" applyBorder="1" applyAlignment="1">
      <alignment horizontal="center" vertical="center" wrapText="1"/>
    </xf>
    <xf numFmtId="0" fontId="22" fillId="0" borderId="194" xfId="0" applyFont="1" applyBorder="1" applyAlignment="1">
      <alignment horizontal="center" wrapText="1"/>
    </xf>
    <xf numFmtId="0" fontId="5" fillId="0" borderId="195" xfId="0" applyFont="1" applyBorder="1" applyAlignment="1">
      <alignment horizontal="left" wrapText="1"/>
    </xf>
    <xf numFmtId="0" fontId="22" fillId="0" borderId="196" xfId="0" applyFont="1" applyBorder="1" applyAlignment="1">
      <alignment horizontal="center" wrapText="1"/>
    </xf>
    <xf numFmtId="0" fontId="22" fillId="0" borderId="197" xfId="0" applyFont="1" applyBorder="1" applyAlignment="1">
      <alignment horizontal="center" wrapText="1"/>
    </xf>
    <xf numFmtId="0" fontId="22" fillId="0" borderId="198" xfId="0" applyFont="1" applyBorder="1" applyAlignment="1">
      <alignment horizontal="center" wrapText="1"/>
    </xf>
    <xf numFmtId="0" fontId="22" fillId="0" borderId="199" xfId="0" applyFont="1" applyBorder="1" applyAlignment="1">
      <alignment horizontal="center" wrapText="1"/>
    </xf>
    <xf numFmtId="0" fontId="5" fillId="0" borderId="200" xfId="0" applyFont="1" applyBorder="1" applyAlignment="1">
      <alignment horizontal="left" wrapText="1"/>
    </xf>
    <xf numFmtId="0" fontId="22" fillId="0" borderId="201" xfId="0" applyFont="1" applyBorder="1" applyAlignment="1">
      <alignment horizontal="center" wrapText="1"/>
    </xf>
    <xf numFmtId="0" fontId="22" fillId="0" borderId="202" xfId="0" applyFont="1" applyBorder="1" applyAlignment="1">
      <alignment horizontal="center" wrapText="1"/>
    </xf>
    <xf numFmtId="0" fontId="22" fillId="0" borderId="203" xfId="0" applyFont="1" applyBorder="1" applyAlignment="1">
      <alignment horizontal="center" wrapText="1"/>
    </xf>
    <xf numFmtId="0" fontId="5" fillId="0" borderId="204" xfId="0" applyFont="1" applyBorder="1" applyAlignment="1">
      <alignment horizontal="left" wrapText="1"/>
    </xf>
    <xf numFmtId="0" fontId="9" fillId="7" borderId="205" xfId="0" applyFont="1" applyFill="1" applyBorder="1" applyAlignment="1">
      <alignment horizontal="center" vertical="center" wrapText="1"/>
    </xf>
    <xf numFmtId="0" fontId="5" fillId="0" borderId="189" xfId="0" applyFont="1" applyBorder="1" applyAlignment="1">
      <alignment horizontal="left" wrapText="1"/>
    </xf>
    <xf numFmtId="0" fontId="5" fillId="0" borderId="185" xfId="0" applyFont="1" applyBorder="1" applyAlignment="1">
      <alignment horizontal="left" wrapText="1"/>
    </xf>
    <xf numFmtId="0" fontId="5" fillId="0" borderId="206" xfId="0" applyFont="1" applyBorder="1" applyAlignment="1">
      <alignment horizontal="left" wrapText="1"/>
    </xf>
    <xf numFmtId="1" fontId="22" fillId="0" borderId="187" xfId="0" applyNumberFormat="1" applyFont="1" applyBorder="1" applyAlignment="1">
      <alignment horizontal="center" wrapText="1"/>
    </xf>
    <xf numFmtId="1" fontId="22" fillId="0" borderId="207" xfId="0" applyNumberFormat="1" applyFont="1" applyBorder="1" applyAlignment="1">
      <alignment horizontal="center" wrapText="1"/>
    </xf>
    <xf numFmtId="1" fontId="0" fillId="0" borderId="187" xfId="0" applyNumberFormat="1" applyBorder="1" applyAlignment="1">
      <alignment horizontal="center" vertical="center"/>
    </xf>
    <xf numFmtId="0" fontId="10" fillId="6" borderId="164" xfId="0" applyFont="1" applyFill="1" applyBorder="1" applyAlignment="1">
      <alignment horizontal="left" vertical="center"/>
    </xf>
    <xf numFmtId="0" fontId="2" fillId="0" borderId="167" xfId="0" applyFont="1" applyFill="1" applyBorder="1" applyAlignment="1">
      <alignment horizontal="left" vertical="center"/>
    </xf>
    <xf numFmtId="0" fontId="2" fillId="0" borderId="169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208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0" fontId="0" fillId="6" borderId="175" xfId="0" applyFill="1" applyBorder="1" applyAlignment="1"/>
    <xf numFmtId="0" fontId="5" fillId="0" borderId="211" xfId="0" applyFont="1" applyBorder="1" applyAlignment="1">
      <alignment horizontal="center" vertical="center"/>
    </xf>
    <xf numFmtId="0" fontId="5" fillId="0" borderId="212" xfId="0" applyFont="1" applyBorder="1" applyAlignment="1">
      <alignment horizontal="center" vertical="center" wrapText="1"/>
    </xf>
    <xf numFmtId="0" fontId="5" fillId="0" borderId="213" xfId="0" applyFont="1" applyBorder="1" applyAlignment="1">
      <alignment horizontal="center" vertical="center" wrapText="1"/>
    </xf>
    <xf numFmtId="0" fontId="5" fillId="0" borderId="211" xfId="0" applyFont="1" applyBorder="1" applyAlignment="1">
      <alignment horizontal="center" vertical="center" wrapText="1"/>
    </xf>
    <xf numFmtId="0" fontId="5" fillId="0" borderId="214" xfId="0" applyFont="1" applyBorder="1" applyAlignment="1">
      <alignment horizontal="center" vertical="center" wrapText="1"/>
    </xf>
    <xf numFmtId="167" fontId="5" fillId="0" borderId="208" xfId="0" applyNumberFormat="1" applyFont="1" applyBorder="1" applyAlignment="1">
      <alignment horizontal="center" vertical="center"/>
    </xf>
    <xf numFmtId="179" fontId="5" fillId="0" borderId="208" xfId="0" applyNumberFormat="1" applyFont="1" applyBorder="1" applyAlignment="1">
      <alignment horizontal="center" vertical="center"/>
    </xf>
    <xf numFmtId="179" fontId="5" fillId="0" borderId="169" xfId="0" applyNumberFormat="1" applyFont="1" applyBorder="1" applyAlignment="1">
      <alignment horizontal="center" vertical="center"/>
    </xf>
    <xf numFmtId="179" fontId="7" fillId="0" borderId="216" xfId="0" applyNumberFormat="1" applyFont="1" applyBorder="1" applyAlignment="1">
      <alignment vertical="center"/>
    </xf>
    <xf numFmtId="166" fontId="5" fillId="2" borderId="84" xfId="0" applyNumberFormat="1" applyFont="1" applyFill="1" applyBorder="1" applyAlignment="1">
      <alignment horizontal="center" vertical="center"/>
    </xf>
    <xf numFmtId="166" fontId="5" fillId="0" borderId="92" xfId="0" applyNumberFormat="1" applyFont="1" applyBorder="1" applyAlignment="1">
      <alignment horizontal="center" vertical="center"/>
    </xf>
    <xf numFmtId="0" fontId="4" fillId="6" borderId="114" xfId="0" applyFont="1" applyFill="1" applyBorder="1" applyAlignment="1"/>
    <xf numFmtId="0" fontId="4" fillId="6" borderId="116" xfId="0" applyFont="1" applyFill="1" applyBorder="1" applyAlignment="1"/>
    <xf numFmtId="0" fontId="4" fillId="6" borderId="115" xfId="0" applyFont="1" applyFill="1" applyBorder="1" applyAlignment="1"/>
    <xf numFmtId="0" fontId="5" fillId="0" borderId="81" xfId="0" applyFont="1" applyBorder="1" applyAlignment="1">
      <alignment vertical="center"/>
    </xf>
    <xf numFmtId="0" fontId="5" fillId="0" borderId="121" xfId="0" applyFont="1" applyBorder="1" applyAlignment="1">
      <alignment vertical="center"/>
    </xf>
    <xf numFmtId="1" fontId="5" fillId="0" borderId="45" xfId="0" applyNumberFormat="1" applyFont="1" applyBorder="1" applyAlignment="1">
      <alignment horizontal="center" vertical="center"/>
    </xf>
    <xf numFmtId="0" fontId="4" fillId="6" borderId="217" xfId="0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172" fontId="5" fillId="0" borderId="0" xfId="1" applyNumberFormat="1" applyFont="1" applyBorder="1" applyAlignment="1">
      <alignment horizontal="center" vertical="center"/>
    </xf>
    <xf numFmtId="172" fontId="3" fillId="0" borderId="0" xfId="1" applyNumberFormat="1" applyFont="1" applyBorder="1" applyAlignment="1">
      <alignment horizontal="center" vertical="center"/>
    </xf>
    <xf numFmtId="171" fontId="7" fillId="0" borderId="0" xfId="0" applyNumberFormat="1" applyFont="1" applyBorder="1" applyAlignment="1">
      <alignment horizontal="center" vertical="center"/>
    </xf>
    <xf numFmtId="0" fontId="4" fillId="3" borderId="103" xfId="0" applyFont="1" applyFill="1" applyBorder="1" applyAlignment="1">
      <alignment horizontal="center" vertical="top" wrapText="1"/>
    </xf>
    <xf numFmtId="0" fontId="4" fillId="3" borderId="57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5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3" xfId="0" applyFont="1" applyFill="1" applyBorder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171" fontId="7" fillId="0" borderId="219" xfId="0" applyNumberFormat="1" applyFont="1" applyBorder="1" applyAlignment="1">
      <alignment horizontal="center" vertical="center"/>
    </xf>
    <xf numFmtId="171" fontId="7" fillId="0" borderId="12" xfId="0" applyNumberFormat="1" applyFont="1" applyBorder="1" applyAlignment="1">
      <alignment horizontal="center" vertical="center"/>
    </xf>
    <xf numFmtId="172" fontId="5" fillId="0" borderId="49" xfId="1" quotePrefix="1" applyNumberFormat="1" applyFont="1" applyBorder="1" applyAlignment="1">
      <alignment horizontal="center" vertical="center"/>
    </xf>
    <xf numFmtId="172" fontId="3" fillId="0" borderId="49" xfId="1" applyNumberFormat="1" applyFont="1" applyBorder="1" applyAlignment="1">
      <alignment horizontal="center" vertical="center"/>
    </xf>
    <xf numFmtId="43" fontId="3" fillId="0" borderId="19" xfId="1" applyNumberFormat="1" applyFont="1" applyBorder="1" applyAlignment="1">
      <alignment horizontal="center" vertical="center"/>
    </xf>
    <xf numFmtId="0" fontId="4" fillId="3" borderId="103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 wrapText="1"/>
    </xf>
    <xf numFmtId="0" fontId="5" fillId="0" borderId="220" xfId="0" applyFont="1" applyBorder="1" applyAlignment="1">
      <alignment horizontal="left" vertical="center" wrapText="1"/>
    </xf>
    <xf numFmtId="0" fontId="5" fillId="0" borderId="166" xfId="0" applyFont="1" applyBorder="1" applyAlignment="1">
      <alignment horizontal="left" vertical="center" wrapText="1"/>
    </xf>
    <xf numFmtId="0" fontId="5" fillId="0" borderId="168" xfId="0" applyFont="1" applyBorder="1" applyAlignment="1">
      <alignment horizontal="left" vertical="center" wrapText="1"/>
    </xf>
    <xf numFmtId="0" fontId="2" fillId="0" borderId="220" xfId="0" applyFont="1" applyBorder="1" applyAlignment="1">
      <alignment vertical="center"/>
    </xf>
    <xf numFmtId="0" fontId="2" fillId="0" borderId="166" xfId="0" applyFont="1" applyBorder="1" applyAlignment="1">
      <alignment vertical="center"/>
    </xf>
    <xf numFmtId="0" fontId="2" fillId="0" borderId="168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72" fontId="2" fillId="0" borderId="22" xfId="1" applyNumberFormat="1" applyFont="1" applyBorder="1" applyAlignment="1">
      <alignment horizontal="right" vertical="center"/>
    </xf>
    <xf numFmtId="43" fontId="3" fillId="0" borderId="90" xfId="1" applyNumberFormat="1" applyFont="1" applyBorder="1" applyAlignment="1">
      <alignment horizontal="center" vertical="center"/>
    </xf>
    <xf numFmtId="0" fontId="0" fillId="0" borderId="10" xfId="0" applyBorder="1" applyAlignment="1"/>
    <xf numFmtId="0" fontId="4" fillId="3" borderId="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 wrapText="1"/>
    </xf>
    <xf numFmtId="0" fontId="5" fillId="0" borderId="221" xfId="0" applyFont="1" applyBorder="1" applyAlignment="1">
      <alignment horizontal="left" vertical="center" wrapText="1"/>
    </xf>
    <xf numFmtId="0" fontId="5" fillId="0" borderId="222" xfId="0" applyFont="1" applyBorder="1" applyAlignment="1">
      <alignment horizontal="center" vertical="center" wrapText="1"/>
    </xf>
    <xf numFmtId="172" fontId="5" fillId="0" borderId="222" xfId="1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172" fontId="5" fillId="0" borderId="15" xfId="1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72" fontId="5" fillId="0" borderId="22" xfId="1" applyNumberFormat="1" applyFont="1" applyBorder="1" applyAlignment="1">
      <alignment horizontal="right" vertical="center" wrapText="1"/>
    </xf>
    <xf numFmtId="43" fontId="5" fillId="0" borderId="100" xfId="1" quotePrefix="1" applyNumberFormat="1" applyFont="1" applyBorder="1" applyAlignment="1">
      <alignment horizontal="center" vertical="center"/>
    </xf>
    <xf numFmtId="172" fontId="5" fillId="0" borderId="223" xfId="1" quotePrefix="1" applyNumberFormat="1" applyFont="1" applyBorder="1" applyAlignment="1">
      <alignment horizontal="center" vertical="center"/>
    </xf>
    <xf numFmtId="172" fontId="5" fillId="0" borderId="162" xfId="1" quotePrefix="1" applyNumberFormat="1" applyFont="1" applyBorder="1" applyAlignment="1">
      <alignment horizontal="center" vertical="center"/>
    </xf>
    <xf numFmtId="43" fontId="5" fillId="0" borderId="224" xfId="0" quotePrefix="1" applyNumberFormat="1" applyFont="1" applyBorder="1" applyAlignment="1">
      <alignment horizontal="center" vertical="center"/>
    </xf>
    <xf numFmtId="43" fontId="5" fillId="0" borderId="37" xfId="1" quotePrefix="1" applyNumberFormat="1" applyFont="1" applyBorder="1" applyAlignment="1">
      <alignment horizontal="center" vertical="center"/>
    </xf>
    <xf numFmtId="172" fontId="5" fillId="0" borderId="37" xfId="1" quotePrefix="1" applyNumberFormat="1" applyFont="1" applyBorder="1" applyAlignment="1">
      <alignment horizontal="center" vertical="center"/>
    </xf>
    <xf numFmtId="43" fontId="5" fillId="0" borderId="38" xfId="1" quotePrefix="1" applyNumberFormat="1" applyFont="1" applyBorder="1" applyAlignment="1">
      <alignment horizontal="center" vertical="center"/>
    </xf>
    <xf numFmtId="43" fontId="3" fillId="0" borderId="36" xfId="1" applyNumberFormat="1" applyFont="1" applyBorder="1" applyAlignment="1">
      <alignment horizontal="center" vertical="center"/>
    </xf>
    <xf numFmtId="172" fontId="3" fillId="0" borderId="36" xfId="1" applyNumberFormat="1" applyFont="1" applyBorder="1" applyAlignment="1">
      <alignment horizontal="center" vertical="center"/>
    </xf>
    <xf numFmtId="43" fontId="3" fillId="0" borderId="225" xfId="1" applyNumberFormat="1" applyFont="1" applyBorder="1" applyAlignment="1">
      <alignment horizontal="center" vertical="center"/>
    </xf>
    <xf numFmtId="172" fontId="5" fillId="0" borderId="78" xfId="1" quotePrefix="1" applyNumberFormat="1" applyFont="1" applyBorder="1" applyAlignment="1">
      <alignment horizontal="center" vertical="center"/>
    </xf>
    <xf numFmtId="0" fontId="4" fillId="3" borderId="228" xfId="0" applyFont="1" applyFill="1" applyBorder="1" applyAlignment="1">
      <alignment horizontal="center" vertical="top" wrapText="1"/>
    </xf>
    <xf numFmtId="0" fontId="4" fillId="3" borderId="135" xfId="0" applyFont="1" applyFill="1" applyBorder="1" applyAlignment="1">
      <alignment vertical="center" wrapText="1"/>
    </xf>
    <xf numFmtId="172" fontId="3" fillId="0" borderId="129" xfId="1" applyNumberFormat="1" applyFont="1" applyBorder="1" applyAlignment="1">
      <alignment horizontal="center" vertical="center"/>
    </xf>
    <xf numFmtId="172" fontId="5" fillId="0" borderId="223" xfId="1" applyNumberFormat="1" applyFont="1" applyBorder="1" applyAlignment="1">
      <alignment horizontal="center" vertical="center"/>
    </xf>
    <xf numFmtId="172" fontId="5" fillId="0" borderId="162" xfId="1" applyNumberFormat="1" applyFont="1" applyBorder="1" applyAlignment="1">
      <alignment horizontal="center" vertical="center"/>
    </xf>
    <xf numFmtId="43" fontId="3" fillId="0" borderId="129" xfId="1" applyNumberFormat="1" applyFont="1" applyBorder="1" applyAlignment="1">
      <alignment horizontal="center" vertical="center"/>
    </xf>
    <xf numFmtId="43" fontId="3" fillId="0" borderId="160" xfId="1" applyNumberFormat="1" applyFont="1" applyBorder="1" applyAlignment="1">
      <alignment horizontal="center" vertical="center"/>
    </xf>
    <xf numFmtId="0" fontId="5" fillId="0" borderId="233" xfId="0" applyFont="1" applyBorder="1" applyAlignment="1">
      <alignment horizontal="left" vertical="center" wrapText="1"/>
    </xf>
    <xf numFmtId="0" fontId="3" fillId="0" borderId="133" xfId="0" applyFont="1" applyBorder="1" applyAlignment="1">
      <alignment horizontal="center" vertical="center" wrapText="1"/>
    </xf>
    <xf numFmtId="172" fontId="5" fillId="0" borderId="179" xfId="1" quotePrefix="1" applyNumberFormat="1" applyFont="1" applyBorder="1" applyAlignment="1">
      <alignment horizontal="center" vertical="center"/>
    </xf>
    <xf numFmtId="172" fontId="5" fillId="0" borderId="131" xfId="1" applyNumberFormat="1" applyFont="1" applyBorder="1" applyAlignment="1">
      <alignment horizontal="center" vertical="center"/>
    </xf>
    <xf numFmtId="172" fontId="5" fillId="0" borderId="132" xfId="1" applyNumberFormat="1" applyFont="1" applyBorder="1" applyAlignment="1">
      <alignment horizontal="center" vertical="center"/>
    </xf>
    <xf numFmtId="43" fontId="3" fillId="0" borderId="35" xfId="1" applyNumberFormat="1" applyFont="1" applyBorder="1" applyAlignment="1">
      <alignment horizontal="center" vertical="center"/>
    </xf>
    <xf numFmtId="0" fontId="2" fillId="0" borderId="221" xfId="0" applyFont="1" applyBorder="1" applyAlignment="1">
      <alignment vertical="center"/>
    </xf>
    <xf numFmtId="0" fontId="5" fillId="0" borderId="79" xfId="0" applyFont="1" applyBorder="1" applyAlignment="1">
      <alignment horizontal="center" vertical="center"/>
    </xf>
    <xf numFmtId="172" fontId="2" fillId="0" borderId="222" xfId="1" applyNumberFormat="1" applyFont="1" applyBorder="1" applyAlignment="1">
      <alignment horizontal="right" vertical="center"/>
    </xf>
    <xf numFmtId="43" fontId="3" fillId="0" borderId="78" xfId="1" applyNumberFormat="1" applyFont="1" applyBorder="1" applyAlignment="1">
      <alignment horizontal="center" vertical="center"/>
    </xf>
    <xf numFmtId="43" fontId="3" fillId="0" borderId="100" xfId="1" applyNumberFormat="1" applyFont="1" applyBorder="1" applyAlignment="1">
      <alignment horizontal="center" vertical="center"/>
    </xf>
    <xf numFmtId="43" fontId="3" fillId="0" borderId="224" xfId="1" applyNumberFormat="1" applyFont="1" applyBorder="1" applyAlignment="1">
      <alignment horizontal="center" vertical="center"/>
    </xf>
    <xf numFmtId="0" fontId="2" fillId="0" borderId="235" xfId="0" applyFont="1" applyBorder="1" applyAlignment="1">
      <alignment vertical="center"/>
    </xf>
    <xf numFmtId="0" fontId="5" fillId="0" borderId="139" xfId="0" applyFont="1" applyBorder="1" applyAlignment="1">
      <alignment horizontal="center" vertical="center"/>
    </xf>
    <xf numFmtId="172" fontId="2" fillId="0" borderId="236" xfId="1" applyNumberFormat="1" applyFont="1" applyBorder="1" applyAlignment="1">
      <alignment horizontal="right" vertical="center"/>
    </xf>
    <xf numFmtId="43" fontId="3" fillId="0" borderId="14" xfId="1" applyNumberFormat="1" applyFont="1" applyBorder="1" applyAlignment="1">
      <alignment horizontal="center" vertical="center"/>
    </xf>
    <xf numFmtId="43" fontId="3" fillId="0" borderId="92" xfId="1" applyNumberFormat="1" applyFont="1" applyBorder="1" applyAlignment="1">
      <alignment horizontal="center" vertical="center"/>
    </xf>
    <xf numFmtId="43" fontId="3" fillId="0" borderId="226" xfId="1" applyNumberFormat="1" applyFont="1" applyBorder="1" applyAlignment="1">
      <alignment horizontal="center" vertical="center"/>
    </xf>
    <xf numFmtId="172" fontId="5" fillId="0" borderId="237" xfId="1" quotePrefix="1" applyNumberFormat="1" applyFont="1" applyBorder="1" applyAlignment="1">
      <alignment horizontal="center" vertical="center"/>
    </xf>
    <xf numFmtId="174" fontId="3" fillId="0" borderId="157" xfId="1" applyNumberFormat="1" applyFont="1" applyBorder="1" applyAlignment="1">
      <alignment horizontal="center" vertical="center"/>
    </xf>
    <xf numFmtId="174" fontId="3" fillId="0" borderId="238" xfId="1" applyNumberFormat="1" applyFont="1" applyBorder="1" applyAlignment="1">
      <alignment horizontal="center" vertical="center"/>
    </xf>
    <xf numFmtId="174" fontId="3" fillId="0" borderId="163" xfId="1" applyNumberFormat="1" applyFont="1" applyBorder="1" applyAlignment="1">
      <alignment horizontal="center" vertical="center"/>
    </xf>
    <xf numFmtId="172" fontId="5" fillId="0" borderId="239" xfId="1" quotePrefix="1" applyNumberFormat="1" applyFont="1" applyBorder="1" applyAlignment="1">
      <alignment horizontal="center" vertical="center"/>
    </xf>
    <xf numFmtId="174" fontId="3" fillId="0" borderId="240" xfId="1" applyNumberFormat="1" applyFont="1" applyBorder="1" applyAlignment="1">
      <alignment horizontal="center" vertical="center"/>
    </xf>
    <xf numFmtId="172" fontId="5" fillId="0" borderId="241" xfId="1" quotePrefix="1" applyNumberFormat="1" applyFont="1" applyBorder="1" applyAlignment="1">
      <alignment horizontal="center" vertical="center"/>
    </xf>
    <xf numFmtId="174" fontId="3" fillId="0" borderId="159" xfId="1" applyNumberFormat="1" applyFont="1" applyBorder="1" applyAlignment="1">
      <alignment horizontal="center" vertical="center"/>
    </xf>
    <xf numFmtId="172" fontId="3" fillId="0" borderId="234" xfId="1" applyNumberFormat="1" applyFont="1" applyBorder="1" applyAlignment="1">
      <alignment horizontal="center" vertical="center"/>
    </xf>
    <xf numFmtId="172" fontId="3" fillId="0" borderId="242" xfId="1" applyNumberFormat="1" applyFont="1" applyBorder="1" applyAlignment="1">
      <alignment horizontal="center" vertical="center"/>
    </xf>
    <xf numFmtId="172" fontId="3" fillId="0" borderId="243" xfId="1" applyNumberFormat="1" applyFont="1" applyBorder="1" applyAlignment="1">
      <alignment horizontal="center" vertical="center"/>
    </xf>
    <xf numFmtId="172" fontId="3" fillId="0" borderId="138" xfId="1" applyNumberFormat="1" applyFont="1" applyBorder="1" applyAlignment="1">
      <alignment horizontal="center" vertical="center"/>
    </xf>
    <xf numFmtId="172" fontId="3" fillId="0" borderId="136" xfId="1" applyNumberFormat="1" applyFont="1" applyBorder="1" applyAlignment="1">
      <alignment horizontal="center" vertical="center"/>
    </xf>
    <xf numFmtId="172" fontId="5" fillId="0" borderId="100" xfId="1" applyNumberFormat="1" applyFont="1" applyBorder="1" applyAlignment="1">
      <alignment horizontal="center" vertical="center"/>
    </xf>
    <xf numFmtId="172" fontId="5" fillId="0" borderId="137" xfId="1" applyNumberFormat="1" applyFont="1" applyBorder="1" applyAlignment="1">
      <alignment horizontal="center" vertical="center"/>
    </xf>
    <xf numFmtId="172" fontId="5" fillId="0" borderId="93" xfId="1" applyNumberFormat="1" applyFont="1" applyBorder="1" applyAlignment="1">
      <alignment horizontal="center" vertical="center"/>
    </xf>
    <xf numFmtId="1" fontId="3" fillId="0" borderId="240" xfId="1" applyNumberFormat="1" applyFont="1" applyBorder="1" applyAlignment="1">
      <alignment horizontal="center" vertical="center"/>
    </xf>
    <xf numFmtId="1" fontId="3" fillId="0" borderId="238" xfId="1" applyNumberFormat="1" applyFont="1" applyBorder="1" applyAlignment="1">
      <alignment horizontal="center" vertical="center"/>
    </xf>
    <xf numFmtId="175" fontId="7" fillId="0" borderId="12" xfId="0" applyNumberFormat="1" applyFont="1" applyBorder="1" applyAlignment="1">
      <alignment horizontal="center" vertical="center"/>
    </xf>
    <xf numFmtId="0" fontId="4" fillId="3" borderId="227" xfId="0" applyNumberFormat="1" applyFont="1" applyFill="1" applyBorder="1" applyAlignment="1">
      <alignment horizontal="center" vertical="top" wrapText="1"/>
    </xf>
    <xf numFmtId="0" fontId="4" fillId="3" borderId="102" xfId="0" applyNumberFormat="1" applyFont="1" applyFill="1" applyBorder="1" applyAlignment="1">
      <alignment vertical="center"/>
    </xf>
    <xf numFmtId="0" fontId="5" fillId="0" borderId="101" xfId="1" quotePrefix="1" applyNumberFormat="1" applyFont="1" applyBorder="1" applyAlignment="1">
      <alignment horizontal="center" vertical="center"/>
    </xf>
    <xf numFmtId="0" fontId="5" fillId="0" borderId="229" xfId="1" quotePrefix="1" applyNumberFormat="1" applyFont="1" applyBorder="1" applyAlignment="1">
      <alignment horizontal="center" vertical="center"/>
    </xf>
    <xf numFmtId="0" fontId="5" fillId="0" borderId="230" xfId="1" quotePrefix="1" applyNumberFormat="1" applyFont="1" applyBorder="1" applyAlignment="1">
      <alignment horizontal="center" vertical="center"/>
    </xf>
    <xf numFmtId="0" fontId="3" fillId="0" borderId="234" xfId="1" applyNumberFormat="1" applyFont="1" applyBorder="1" applyAlignment="1">
      <alignment horizontal="center" vertical="center"/>
    </xf>
    <xf numFmtId="0" fontId="3" fillId="0" borderId="128" xfId="1" applyNumberFormat="1" applyFont="1" applyBorder="1" applyAlignment="1">
      <alignment horizontal="center" vertical="center"/>
    </xf>
    <xf numFmtId="0" fontId="3" fillId="0" borderId="130" xfId="1" applyNumberFormat="1" applyFont="1" applyBorder="1" applyAlignment="1">
      <alignment horizontal="center" vertical="center"/>
    </xf>
    <xf numFmtId="0" fontId="3" fillId="0" borderId="232" xfId="1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172" fontId="3" fillId="0" borderId="231" xfId="1" applyNumberFormat="1" applyFont="1" applyBorder="1" applyAlignment="1">
      <alignment horizontal="right" vertical="center"/>
    </xf>
    <xf numFmtId="172" fontId="3" fillId="0" borderId="66" xfId="1" applyNumberFormat="1" applyFont="1" applyBorder="1" applyAlignment="1">
      <alignment horizontal="right" vertical="center"/>
    </xf>
    <xf numFmtId="172" fontId="4" fillId="3" borderId="21" xfId="1" applyNumberFormat="1" applyFont="1" applyFill="1" applyBorder="1" applyAlignment="1">
      <alignment horizontal="center" vertical="top" wrapText="1"/>
    </xf>
    <xf numFmtId="172" fontId="4" fillId="3" borderId="2" xfId="1" applyNumberFormat="1" applyFont="1" applyFill="1" applyBorder="1" applyAlignment="1">
      <alignment horizontal="center"/>
    </xf>
    <xf numFmtId="172" fontId="5" fillId="0" borderId="79" xfId="1" quotePrefix="1" applyNumberFormat="1" applyFont="1" applyBorder="1" applyAlignment="1">
      <alignment horizontal="center" vertical="center"/>
    </xf>
    <xf numFmtId="172" fontId="5" fillId="0" borderId="17" xfId="1" quotePrefix="1" applyNumberFormat="1" applyFont="1" applyBorder="1" applyAlignment="1">
      <alignment horizontal="center" vertical="center"/>
    </xf>
    <xf numFmtId="172" fontId="5" fillId="0" borderId="24" xfId="1" quotePrefix="1" applyNumberFormat="1" applyFont="1" applyBorder="1" applyAlignment="1">
      <alignment horizontal="center" vertical="center"/>
    </xf>
    <xf numFmtId="172" fontId="3" fillId="0" borderId="20" xfId="1" applyNumberFormat="1" applyFont="1" applyBorder="1" applyAlignment="1">
      <alignment horizontal="right" vertical="center"/>
    </xf>
    <xf numFmtId="172" fontId="3" fillId="0" borderId="43" xfId="1" applyNumberFormat="1" applyFont="1" applyBorder="1" applyAlignment="1">
      <alignment horizontal="center" vertical="center"/>
    </xf>
    <xf numFmtId="172" fontId="3" fillId="0" borderId="2" xfId="1" applyNumberFormat="1" applyFont="1" applyBorder="1" applyAlignment="1">
      <alignment horizontal="right" vertical="center"/>
    </xf>
    <xf numFmtId="172" fontId="3" fillId="0" borderId="144" xfId="1" applyNumberFormat="1" applyFont="1" applyBorder="1" applyAlignment="1">
      <alignment horizontal="center" vertical="center"/>
    </xf>
    <xf numFmtId="172" fontId="3" fillId="0" borderId="3" xfId="1" applyNumberFormat="1" applyFont="1" applyBorder="1" applyAlignment="1">
      <alignment horizontal="center" vertical="center"/>
    </xf>
    <xf numFmtId="172" fontId="3" fillId="0" borderId="7" xfId="1" applyNumberFormat="1" applyFont="1" applyBorder="1" applyAlignment="1">
      <alignment horizontal="center" vertical="center"/>
    </xf>
    <xf numFmtId="172" fontId="5" fillId="0" borderId="0" xfId="1" applyNumberFormat="1" applyFont="1" applyAlignment="1">
      <alignment horizontal="center"/>
    </xf>
    <xf numFmtId="175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175" fontId="5" fillId="0" borderId="174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5" fontId="5" fillId="0" borderId="46" xfId="0" applyNumberFormat="1" applyFont="1" applyBorder="1" applyAlignment="1">
      <alignment horizontal="center" vertical="center"/>
    </xf>
    <xf numFmtId="0" fontId="19" fillId="0" borderId="81" xfId="0" applyFont="1" applyBorder="1" applyAlignment="1">
      <alignment vertical="center"/>
    </xf>
    <xf numFmtId="0" fontId="19" fillId="0" borderId="124" xfId="0" applyFont="1" applyBorder="1" applyAlignment="1">
      <alignment vertical="center"/>
    </xf>
    <xf numFmtId="0" fontId="14" fillId="6" borderId="244" xfId="0" applyFont="1" applyFill="1" applyBorder="1" applyAlignment="1">
      <alignment horizontal="center" vertical="center"/>
    </xf>
    <xf numFmtId="177" fontId="5" fillId="0" borderId="77" xfId="0" applyNumberFormat="1" applyFont="1" applyBorder="1" applyAlignment="1">
      <alignment horizontal="center" vertical="center"/>
    </xf>
    <xf numFmtId="175" fontId="5" fillId="0" borderId="0" xfId="0" applyNumberFormat="1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4" fillId="6" borderId="104" xfId="0" applyFont="1" applyFill="1" applyBorder="1" applyAlignment="1">
      <alignment horizontal="center" wrapText="1"/>
    </xf>
    <xf numFmtId="0" fontId="4" fillId="6" borderId="50" xfId="0" applyFont="1" applyFill="1" applyBorder="1" applyAlignment="1">
      <alignment horizontal="center" wrapText="1"/>
    </xf>
    <xf numFmtId="0" fontId="4" fillId="6" borderId="25" xfId="0" applyFont="1" applyFill="1" applyBorder="1" applyAlignment="1">
      <alignment horizontal="center" wrapText="1"/>
    </xf>
    <xf numFmtId="0" fontId="9" fillId="0" borderId="14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6" borderId="112" xfId="0" applyFont="1" applyFill="1" applyBorder="1" applyAlignment="1">
      <alignment horizontal="center" wrapText="1"/>
    </xf>
    <xf numFmtId="0" fontId="4" fillId="6" borderId="116" xfId="0" applyFont="1" applyFill="1" applyBorder="1" applyAlignment="1">
      <alignment horizontal="center" wrapText="1"/>
    </xf>
    <xf numFmtId="0" fontId="4" fillId="6" borderId="113" xfId="0" applyFont="1" applyFill="1" applyBorder="1" applyAlignment="1">
      <alignment horizontal="center" wrapText="1"/>
    </xf>
    <xf numFmtId="0" fontId="5" fillId="0" borderId="86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4" fillId="6" borderId="118" xfId="0" applyFont="1" applyFill="1" applyBorder="1" applyAlignment="1">
      <alignment horizontal="center" vertical="center" wrapText="1"/>
    </xf>
    <xf numFmtId="0" fontId="4" fillId="6" borderId="119" xfId="0" applyFont="1" applyFill="1" applyBorder="1" applyAlignment="1">
      <alignment horizontal="center" vertical="center" wrapText="1"/>
    </xf>
    <xf numFmtId="0" fontId="4" fillId="6" borderId="99" xfId="0" applyFont="1" applyFill="1" applyBorder="1" applyAlignment="1">
      <alignment horizontal="center" vertical="top" wrapText="1"/>
    </xf>
    <xf numFmtId="0" fontId="4" fillId="6" borderId="100" xfId="0" applyFont="1" applyFill="1" applyBorder="1" applyAlignment="1">
      <alignment horizontal="center" vertical="top" wrapText="1"/>
    </xf>
    <xf numFmtId="0" fontId="4" fillId="6" borderId="144" xfId="0" applyFont="1" applyFill="1" applyBorder="1" applyAlignment="1">
      <alignment horizontal="center" vertical="top" wrapText="1"/>
    </xf>
    <xf numFmtId="0" fontId="4" fillId="6" borderId="101" xfId="0" applyFont="1" applyFill="1" applyBorder="1" applyAlignment="1">
      <alignment horizontal="center" vertical="top" wrapText="1"/>
    </xf>
    <xf numFmtId="0" fontId="5" fillId="0" borderId="155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166" fontId="5" fillId="0" borderId="97" xfId="0" applyNumberFormat="1" applyFont="1" applyBorder="1" applyAlignment="1">
      <alignment horizontal="center" vertical="center"/>
    </xf>
    <xf numFmtId="166" fontId="5" fillId="0" borderId="92" xfId="0" applyNumberFormat="1" applyFont="1" applyBorder="1" applyAlignment="1">
      <alignment horizontal="center" vertical="center"/>
    </xf>
    <xf numFmtId="0" fontId="5" fillId="0" borderId="154" xfId="0" applyFont="1" applyBorder="1" applyAlignment="1">
      <alignment horizontal="center" vertical="center"/>
    </xf>
    <xf numFmtId="0" fontId="5" fillId="0" borderId="151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1" fontId="5" fillId="0" borderId="6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123" xfId="0" applyFont="1" applyBorder="1" applyAlignment="1">
      <alignment horizontal="center" vertical="center"/>
    </xf>
    <xf numFmtId="0" fontId="4" fillId="6" borderId="78" xfId="0" applyFont="1" applyFill="1" applyBorder="1" applyAlignment="1">
      <alignment horizontal="center" vertical="top" wrapText="1"/>
    </xf>
    <xf numFmtId="0" fontId="4" fillId="6" borderId="171" xfId="0" applyFont="1" applyFill="1" applyBorder="1" applyAlignment="1">
      <alignment horizontal="center" vertical="top" wrapText="1"/>
    </xf>
    <xf numFmtId="0" fontId="3" fillId="0" borderId="69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122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122" xfId="0" applyFont="1" applyBorder="1" applyAlignment="1">
      <alignment horizontal="center" vertical="center"/>
    </xf>
    <xf numFmtId="0" fontId="17" fillId="2" borderId="81" xfId="0" applyFont="1" applyFill="1" applyBorder="1" applyAlignment="1">
      <alignment horizontal="center" vertical="center"/>
    </xf>
    <xf numFmtId="0" fontId="17" fillId="2" borderId="124" xfId="0" applyFont="1" applyFill="1" applyBorder="1" applyAlignment="1">
      <alignment horizontal="center" vertical="center"/>
    </xf>
    <xf numFmtId="2" fontId="5" fillId="0" borderId="154" xfId="0" applyNumberFormat="1" applyFont="1" applyBorder="1" applyAlignment="1">
      <alignment horizontal="center" vertical="center"/>
    </xf>
    <xf numFmtId="2" fontId="5" fillId="0" borderId="151" xfId="0" applyNumberFormat="1" applyFont="1" applyBorder="1" applyAlignment="1">
      <alignment horizontal="center" vertical="center"/>
    </xf>
    <xf numFmtId="177" fontId="5" fillId="0" borderId="67" xfId="0" applyNumberFormat="1" applyFont="1" applyBorder="1" applyAlignment="1">
      <alignment horizontal="center" vertical="center"/>
    </xf>
    <xf numFmtId="177" fontId="5" fillId="0" borderId="75" xfId="0" applyNumberFormat="1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wrapText="1"/>
    </xf>
    <xf numFmtId="0" fontId="4" fillId="6" borderId="145" xfId="0" applyFont="1" applyFill="1" applyBorder="1" applyAlignment="1">
      <alignment horizontal="center" wrapText="1"/>
    </xf>
    <xf numFmtId="0" fontId="5" fillId="0" borderId="45" xfId="0" applyFont="1" applyBorder="1" applyAlignment="1">
      <alignment horizontal="center" vertical="center"/>
    </xf>
    <xf numFmtId="0" fontId="5" fillId="0" borderId="121" xfId="0" applyFont="1" applyBorder="1" applyAlignment="1">
      <alignment horizontal="center" vertical="center"/>
    </xf>
    <xf numFmtId="0" fontId="4" fillId="6" borderId="79" xfId="0" applyFont="1" applyFill="1" applyBorder="1" applyAlignment="1">
      <alignment horizontal="center" vertical="top" wrapText="1"/>
    </xf>
    <xf numFmtId="0" fontId="5" fillId="2" borderId="69" xfId="0" applyFont="1" applyFill="1" applyBorder="1" applyAlignment="1">
      <alignment horizontal="center" vertical="center"/>
    </xf>
    <xf numFmtId="0" fontId="5" fillId="2" borderId="122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124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122" xfId="0" applyFont="1" applyFill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175" fontId="5" fillId="0" borderId="67" xfId="0" applyNumberFormat="1" applyFont="1" applyBorder="1" applyAlignment="1">
      <alignment horizontal="center" vertical="center"/>
    </xf>
    <xf numFmtId="175" fontId="5" fillId="0" borderId="75" xfId="0" applyNumberFormat="1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166" fontId="5" fillId="0" borderId="160" xfId="0" applyNumberFormat="1" applyFont="1" applyBorder="1" applyAlignment="1">
      <alignment horizontal="center" vertical="center"/>
    </xf>
    <xf numFmtId="2" fontId="5" fillId="0" borderId="161" xfId="0" applyNumberFormat="1" applyFont="1" applyBorder="1" applyAlignment="1">
      <alignment horizontal="center" vertical="center"/>
    </xf>
    <xf numFmtId="175" fontId="5" fillId="0" borderId="77" xfId="0" applyNumberFormat="1" applyFont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4" xfId="0" applyFont="1" applyFill="1" applyBorder="1" applyAlignment="1">
      <alignment horizontal="center" vertical="center"/>
    </xf>
    <xf numFmtId="0" fontId="4" fillId="6" borderId="85" xfId="0" applyFont="1" applyFill="1" applyBorder="1" applyAlignment="1">
      <alignment horizontal="center" vertical="top" wrapText="1"/>
    </xf>
    <xf numFmtId="0" fontId="4" fillId="6" borderId="98" xfId="0" applyFont="1" applyFill="1" applyBorder="1" applyAlignment="1">
      <alignment horizontal="center" vertical="top" wrapText="1"/>
    </xf>
    <xf numFmtId="0" fontId="12" fillId="0" borderId="77" xfId="0" applyFont="1" applyBorder="1" applyAlignment="1">
      <alignment horizontal="center" vertical="center"/>
    </xf>
    <xf numFmtId="0" fontId="13" fillId="6" borderId="107" xfId="0" applyFont="1" applyFill="1" applyBorder="1" applyAlignment="1">
      <alignment horizontal="center" vertical="top"/>
    </xf>
    <xf numFmtId="0" fontId="13" fillId="6" borderId="177" xfId="0" applyFont="1" applyFill="1" applyBorder="1" applyAlignment="1">
      <alignment horizontal="center" vertical="top"/>
    </xf>
    <xf numFmtId="0" fontId="13" fillId="6" borderId="86" xfId="0" applyFont="1" applyFill="1" applyBorder="1" applyAlignment="1">
      <alignment horizontal="center" vertical="center"/>
    </xf>
    <xf numFmtId="0" fontId="13" fillId="6" borderId="88" xfId="0" applyFont="1" applyFill="1" applyBorder="1" applyAlignment="1">
      <alignment horizontal="center" vertical="center"/>
    </xf>
    <xf numFmtId="0" fontId="4" fillId="6" borderId="177" xfId="0" applyFont="1" applyFill="1" applyBorder="1" applyAlignment="1">
      <alignment horizontal="center" vertical="top" wrapText="1"/>
    </xf>
    <xf numFmtId="0" fontId="17" fillId="2" borderId="45" xfId="0" applyFont="1" applyFill="1" applyBorder="1" applyAlignment="1">
      <alignment horizontal="center" vertical="center"/>
    </xf>
    <xf numFmtId="0" fontId="17" fillId="2" borderId="121" xfId="0" applyFont="1" applyFill="1" applyBorder="1" applyAlignment="1">
      <alignment horizontal="center" vertical="center"/>
    </xf>
    <xf numFmtId="0" fontId="18" fillId="2" borderId="69" xfId="0" applyFont="1" applyFill="1" applyBorder="1" applyAlignment="1">
      <alignment horizontal="center" vertical="center"/>
    </xf>
    <xf numFmtId="0" fontId="18" fillId="2" borderId="122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124" xfId="0" applyFont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4" fillId="6" borderId="114" xfId="0" applyFont="1" applyFill="1" applyBorder="1" applyAlignment="1">
      <alignment horizontal="center"/>
    </xf>
    <xf numFmtId="0" fontId="4" fillId="6" borderId="116" xfId="0" applyFont="1" applyFill="1" applyBorder="1" applyAlignment="1">
      <alignment horizontal="center"/>
    </xf>
    <xf numFmtId="0" fontId="4" fillId="6" borderId="115" xfId="0" applyFont="1" applyFill="1" applyBorder="1" applyAlignment="1">
      <alignment horizontal="center"/>
    </xf>
    <xf numFmtId="0" fontId="13" fillId="6" borderId="107" xfId="0" applyFont="1" applyFill="1" applyBorder="1" applyAlignment="1">
      <alignment horizontal="center" vertical="center"/>
    </xf>
    <xf numFmtId="0" fontId="13" fillId="6" borderId="177" xfId="0" applyFont="1" applyFill="1" applyBorder="1" applyAlignment="1">
      <alignment horizontal="center" vertical="center"/>
    </xf>
    <xf numFmtId="0" fontId="4" fillId="6" borderId="113" xfId="0" applyFont="1" applyFill="1" applyBorder="1" applyAlignment="1">
      <alignment horizont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25" xfId="0" applyFont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1" fontId="5" fillId="0" borderId="142" xfId="0" applyNumberFormat="1" applyFont="1" applyBorder="1" applyAlignment="1">
      <alignment horizontal="center" vertical="center"/>
    </xf>
    <xf numFmtId="1" fontId="5" fillId="0" borderId="44" xfId="0" applyNumberFormat="1" applyFont="1" applyBorder="1" applyAlignment="1">
      <alignment horizontal="center" vertical="center"/>
    </xf>
    <xf numFmtId="1" fontId="5" fillId="0" borderId="121" xfId="0" applyNumberFormat="1" applyFont="1" applyBorder="1" applyAlignment="1">
      <alignment horizontal="center" vertical="center"/>
    </xf>
    <xf numFmtId="0" fontId="5" fillId="0" borderId="143" xfId="0" applyFont="1" applyBorder="1" applyAlignment="1">
      <alignment vertical="center"/>
    </xf>
    <xf numFmtId="0" fontId="5" fillId="0" borderId="117" xfId="0" applyFont="1" applyBorder="1" applyAlignment="1">
      <alignment vertical="center"/>
    </xf>
    <xf numFmtId="0" fontId="5" fillId="0" borderId="124" xfId="0" applyFont="1" applyBorder="1" applyAlignment="1">
      <alignment vertical="center"/>
    </xf>
    <xf numFmtId="0" fontId="5" fillId="0" borderId="1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3" borderId="21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73" xfId="0" applyFont="1" applyFill="1" applyBorder="1" applyAlignment="1">
      <alignment horizontal="center"/>
    </xf>
    <xf numFmtId="0" fontId="4" fillId="3" borderId="209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10" xfId="0" applyFont="1" applyFill="1" applyBorder="1" applyAlignment="1">
      <alignment horizontal="center" vertical="center" wrapText="1"/>
    </xf>
    <xf numFmtId="0" fontId="4" fillId="3" borderId="180" xfId="0" applyFont="1" applyFill="1" applyBorder="1" applyAlignment="1">
      <alignment horizontal="center" vertical="center" wrapText="1"/>
    </xf>
    <xf numFmtId="0" fontId="4" fillId="3" borderId="215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4" fillId="3" borderId="191" xfId="0" applyFont="1" applyFill="1" applyBorder="1" applyAlignment="1">
      <alignment horizontal="center" vertical="center"/>
    </xf>
    <xf numFmtId="0" fontId="0" fillId="0" borderId="26" xfId="0" applyBorder="1"/>
    <xf numFmtId="0" fontId="4" fillId="3" borderId="26" xfId="0" applyFont="1" applyFill="1" applyBorder="1" applyAlignment="1">
      <alignment horizontal="center" vertical="center"/>
    </xf>
    <xf numFmtId="0" fontId="4" fillId="3" borderId="191" xfId="0" applyFont="1" applyFill="1" applyBorder="1" applyAlignment="1">
      <alignment horizontal="center" vertical="center" wrapText="1"/>
    </xf>
    <xf numFmtId="0" fontId="4" fillId="3" borderId="118" xfId="0" applyFont="1" applyFill="1" applyBorder="1" applyAlignment="1">
      <alignment horizontal="center" vertical="center"/>
    </xf>
    <xf numFmtId="0" fontId="0" fillId="0" borderId="119" xfId="0" applyBorder="1"/>
    <xf numFmtId="0" fontId="4" fillId="3" borderId="181" xfId="0" applyFont="1" applyFill="1" applyBorder="1" applyAlignment="1">
      <alignment horizontal="center"/>
    </xf>
    <xf numFmtId="0" fontId="4" fillId="3" borderId="141" xfId="0" applyFont="1" applyFill="1" applyBorder="1" applyAlignment="1">
      <alignment horizontal="center"/>
    </xf>
    <xf numFmtId="0" fontId="10" fillId="0" borderId="6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0" fillId="0" borderId="5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76" xfId="0" applyFont="1" applyBorder="1" applyAlignment="1">
      <alignment horizontal="center" vertical="top" wrapText="1"/>
    </xf>
    <xf numFmtId="0" fontId="4" fillId="4" borderId="60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top" wrapText="1"/>
    </xf>
    <xf numFmtId="0" fontId="4" fillId="3" borderId="87" xfId="0" applyFont="1" applyFill="1" applyBorder="1" applyAlignment="1">
      <alignment horizontal="center" vertical="top" wrapText="1"/>
    </xf>
    <xf numFmtId="0" fontId="4" fillId="3" borderId="88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4" fillId="3" borderId="60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10" fillId="0" borderId="76" xfId="0" applyFont="1" applyBorder="1" applyAlignment="1">
      <alignment horizontal="center" vertical="top"/>
    </xf>
    <xf numFmtId="0" fontId="9" fillId="3" borderId="78" xfId="0" applyFont="1" applyFill="1" applyBorder="1" applyAlignment="1">
      <alignment horizontal="center" wrapText="1"/>
    </xf>
    <xf numFmtId="0" fontId="9" fillId="3" borderId="79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vertical="top" wrapText="1"/>
    </xf>
    <xf numFmtId="0" fontId="4" fillId="6" borderId="65" xfId="0" applyFont="1" applyFill="1" applyBorder="1" applyAlignment="1">
      <alignment horizontal="center" vertical="top" wrapText="1"/>
    </xf>
    <xf numFmtId="0" fontId="4" fillId="6" borderId="72" xfId="0" applyFont="1" applyFill="1" applyBorder="1" applyAlignment="1">
      <alignment horizontal="center" vertical="top" wrapText="1"/>
    </xf>
    <xf numFmtId="0" fontId="9" fillId="6" borderId="64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7" borderId="192" xfId="0" applyFont="1" applyFill="1" applyBorder="1" applyAlignment="1">
      <alignment horizontal="center" vertical="center" wrapText="1"/>
    </xf>
    <xf numFmtId="0" fontId="9" fillId="7" borderId="184" xfId="0" applyFont="1" applyFill="1" applyBorder="1" applyAlignment="1">
      <alignment horizontal="center" vertical="center" wrapText="1"/>
    </xf>
    <xf numFmtId="0" fontId="9" fillId="7" borderId="181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41" xfId="0" applyFont="1" applyFill="1" applyBorder="1" applyAlignment="1">
      <alignment horizontal="center" vertical="center" wrapText="1"/>
    </xf>
    <xf numFmtId="0" fontId="9" fillId="7" borderId="173" xfId="0" applyFont="1" applyFill="1" applyBorder="1" applyAlignment="1">
      <alignment horizontal="center" vertical="center" wrapText="1"/>
    </xf>
    <xf numFmtId="0" fontId="20" fillId="7" borderId="97" xfId="0" applyFont="1" applyFill="1" applyBorder="1" applyAlignment="1">
      <alignment horizontal="center" vertical="center" wrapText="1"/>
    </xf>
    <xf numFmtId="0" fontId="20" fillId="7" borderId="126" xfId="0" applyFont="1" applyFill="1" applyBorder="1" applyAlignment="1">
      <alignment horizontal="center" vertical="center" wrapText="1"/>
    </xf>
    <xf numFmtId="0" fontId="20" fillId="7" borderId="154" xfId="0" applyFont="1" applyFill="1" applyBorder="1" applyAlignment="1">
      <alignment horizontal="center" vertical="center" wrapText="1"/>
    </xf>
    <xf numFmtId="0" fontId="20" fillId="7" borderId="52" xfId="0" applyFont="1" applyFill="1" applyBorder="1" applyAlignment="1">
      <alignment horizontal="center" vertical="center" wrapText="1"/>
    </xf>
    <xf numFmtId="0" fontId="20" fillId="7" borderId="67" xfId="0" applyFont="1" applyFill="1" applyBorder="1" applyAlignment="1">
      <alignment horizontal="center" vertical="center" wrapText="1"/>
    </xf>
    <xf numFmtId="0" fontId="20" fillId="7" borderId="127" xfId="0" applyFont="1" applyFill="1" applyBorder="1" applyAlignment="1">
      <alignment horizontal="center" vertical="center" wrapText="1"/>
    </xf>
    <xf numFmtId="0" fontId="20" fillId="7" borderId="65" xfId="0" applyFont="1" applyFill="1" applyBorder="1" applyAlignment="1">
      <alignment horizontal="center" vertical="center" wrapText="1"/>
    </xf>
    <xf numFmtId="0" fontId="20" fillId="7" borderId="50" xfId="0" applyFont="1" applyFill="1" applyBorder="1" applyAlignment="1">
      <alignment horizontal="center" vertical="center" wrapText="1"/>
    </xf>
    <xf numFmtId="0" fontId="9" fillId="7" borderId="191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7" borderId="118" xfId="0" applyFont="1" applyFill="1" applyBorder="1" applyAlignment="1">
      <alignment horizontal="center" vertical="center" wrapText="1"/>
    </xf>
    <xf numFmtId="0" fontId="9" fillId="7" borderId="11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25"/>
  <sheetViews>
    <sheetView tabSelected="1" workbookViewId="0">
      <selection activeCell="P244" sqref="P244"/>
    </sheetView>
  </sheetViews>
  <sheetFormatPr defaultRowHeight="12.75"/>
  <cols>
    <col min="1" max="1" width="2.85546875" style="23" bestFit="1" customWidth="1"/>
    <col min="2" max="2" width="6.7109375" style="23" bestFit="1" customWidth="1"/>
    <col min="3" max="3" width="27.140625" style="190" bestFit="1" customWidth="1"/>
    <col min="4" max="4" width="10.5703125" style="20" bestFit="1" customWidth="1"/>
    <col min="5" max="5" width="5" style="20" bestFit="1" customWidth="1"/>
    <col min="6" max="6" width="12" style="20" bestFit="1" customWidth="1"/>
    <col min="7" max="7" width="11.42578125" style="20" bestFit="1" customWidth="1"/>
    <col min="8" max="8" width="3" style="20" customWidth="1"/>
    <col min="9" max="9" width="3.7109375" style="20" bestFit="1" customWidth="1"/>
    <col min="10" max="10" width="21" style="20" bestFit="1" customWidth="1"/>
    <col min="11" max="11" width="3.5703125" style="20" customWidth="1"/>
    <col min="12" max="12" width="2.28515625" style="23" customWidth="1"/>
    <col min="13" max="13" width="4.28515625" style="23" bestFit="1" customWidth="1"/>
    <col min="14" max="14" width="6.7109375" style="23" bestFit="1" customWidth="1"/>
    <col min="15" max="15" width="19" style="190" bestFit="1" customWidth="1"/>
    <col min="16" max="16" width="10.42578125" style="20" bestFit="1" customWidth="1"/>
    <col min="17" max="17" width="5" style="20" bestFit="1" customWidth="1"/>
    <col min="18" max="18" width="7.85546875" style="20" customWidth="1"/>
    <col min="19" max="19" width="11.42578125" style="22" bestFit="1" customWidth="1"/>
    <col min="20" max="20" width="3.5703125" style="22" customWidth="1"/>
    <col min="21" max="21" width="3.7109375" style="22" bestFit="1" customWidth="1"/>
    <col min="22" max="22" width="20.85546875" style="22" bestFit="1" customWidth="1"/>
    <col min="23" max="23" width="3.5703125" style="22" customWidth="1"/>
    <col min="24" max="16384" width="9.140625" style="22"/>
  </cols>
  <sheetData>
    <row r="1" spans="1:12" ht="15.95" customHeight="1" thickBot="1">
      <c r="A1" s="621" t="s">
        <v>173</v>
      </c>
      <c r="B1" s="622"/>
    </row>
    <row r="2" spans="1:12" ht="15.95" customHeight="1">
      <c r="A2" s="549" t="s">
        <v>202</v>
      </c>
      <c r="B2" s="551" t="s">
        <v>228</v>
      </c>
      <c r="C2" s="551"/>
      <c r="D2" s="552" t="s">
        <v>191</v>
      </c>
      <c r="E2" s="553"/>
      <c r="F2" s="554"/>
      <c r="G2" s="618" t="s">
        <v>381</v>
      </c>
      <c r="H2" s="619"/>
      <c r="I2" s="577" t="s">
        <v>314</v>
      </c>
      <c r="J2" s="553"/>
      <c r="K2" s="578"/>
    </row>
    <row r="3" spans="1:12" s="181" customFormat="1" ht="15.95" customHeight="1" thickBot="1">
      <c r="A3" s="550"/>
      <c r="B3" s="193" t="s">
        <v>91</v>
      </c>
      <c r="C3" s="194" t="s">
        <v>164</v>
      </c>
      <c r="D3" s="193" t="s">
        <v>403</v>
      </c>
      <c r="E3" s="231" t="s">
        <v>265</v>
      </c>
      <c r="F3" s="195" t="s">
        <v>257</v>
      </c>
      <c r="G3" s="193" t="s">
        <v>187</v>
      </c>
      <c r="H3" s="218" t="s">
        <v>188</v>
      </c>
      <c r="I3" s="591" t="s">
        <v>187</v>
      </c>
      <c r="J3" s="592"/>
      <c r="K3" s="329" t="s">
        <v>188</v>
      </c>
      <c r="L3" s="180"/>
    </row>
    <row r="4" spans="1:12" s="181" customFormat="1" ht="15.95" customHeight="1" thickTop="1">
      <c r="A4" s="202">
        <v>1</v>
      </c>
      <c r="B4" s="203"/>
      <c r="C4" s="204" t="s">
        <v>183</v>
      </c>
      <c r="D4" s="224"/>
      <c r="E4" s="232"/>
      <c r="F4" s="298"/>
      <c r="G4" s="244" t="s">
        <v>262</v>
      </c>
      <c r="H4" s="222"/>
      <c r="I4" s="616"/>
      <c r="J4" s="617"/>
      <c r="K4" s="246"/>
      <c r="L4" s="23"/>
    </row>
    <row r="5" spans="1:12" ht="15.95" customHeight="1">
      <c r="A5" s="199">
        <v>2</v>
      </c>
      <c r="B5" s="200"/>
      <c r="C5" s="201" t="s">
        <v>183</v>
      </c>
      <c r="D5" s="225"/>
      <c r="E5" s="233"/>
      <c r="F5" s="293"/>
      <c r="G5" s="245" t="s">
        <v>262</v>
      </c>
      <c r="H5" s="223"/>
      <c r="I5" s="581"/>
      <c r="J5" s="582"/>
      <c r="K5" s="247"/>
    </row>
    <row r="6" spans="1:12" ht="15.95" customHeight="1">
      <c r="A6" s="199">
        <v>3</v>
      </c>
      <c r="B6" s="200"/>
      <c r="C6" s="201" t="s">
        <v>182</v>
      </c>
      <c r="D6" s="225"/>
      <c r="E6" s="233"/>
      <c r="F6" s="293"/>
      <c r="G6" s="245" t="s">
        <v>206</v>
      </c>
      <c r="H6" s="223"/>
      <c r="I6" s="581"/>
      <c r="J6" s="582"/>
      <c r="K6" s="247"/>
    </row>
    <row r="7" spans="1:12" ht="15.95" customHeight="1">
      <c r="A7" s="199">
        <v>4</v>
      </c>
      <c r="B7" s="200"/>
      <c r="C7" s="201" t="s">
        <v>182</v>
      </c>
      <c r="D7" s="225"/>
      <c r="E7" s="233"/>
      <c r="F7" s="293"/>
      <c r="G7" s="245" t="s">
        <v>206</v>
      </c>
      <c r="H7" s="223"/>
      <c r="I7" s="581"/>
      <c r="J7" s="582"/>
      <c r="K7" s="247"/>
    </row>
    <row r="8" spans="1:12" ht="15.95" customHeight="1">
      <c r="A8" s="555">
        <v>5</v>
      </c>
      <c r="B8" s="557" t="s">
        <v>171</v>
      </c>
      <c r="C8" s="559" t="s">
        <v>382</v>
      </c>
      <c r="D8" s="561">
        <f>J190*208*SQRT(3)</f>
        <v>125882.35294117646</v>
      </c>
      <c r="E8" s="587">
        <v>0.8</v>
      </c>
      <c r="F8" s="604">
        <f>J190/E8</f>
        <v>436.76809108660882</v>
      </c>
      <c r="G8" s="557" t="s">
        <v>206</v>
      </c>
      <c r="H8" s="565" t="s">
        <v>188</v>
      </c>
      <c r="I8" s="275" t="s">
        <v>277</v>
      </c>
      <c r="J8" s="276" t="s">
        <v>275</v>
      </c>
      <c r="K8" s="277"/>
    </row>
    <row r="9" spans="1:12" ht="15.95" customHeight="1">
      <c r="A9" s="556"/>
      <c r="B9" s="558"/>
      <c r="C9" s="560"/>
      <c r="D9" s="562"/>
      <c r="E9" s="588"/>
      <c r="F9" s="605"/>
      <c r="G9" s="558"/>
      <c r="H9" s="566"/>
      <c r="I9" s="278" t="s">
        <v>278</v>
      </c>
      <c r="J9" s="279" t="s">
        <v>276</v>
      </c>
      <c r="K9" s="280"/>
    </row>
    <row r="10" spans="1:12" ht="15.75">
      <c r="A10" s="555">
        <v>6</v>
      </c>
      <c r="B10" s="557" t="s">
        <v>169</v>
      </c>
      <c r="C10" s="559" t="s">
        <v>382</v>
      </c>
      <c r="D10" s="561">
        <f>J161*208*SQRT(3)</f>
        <v>114852.9411764706</v>
      </c>
      <c r="E10" s="587">
        <v>0.8</v>
      </c>
      <c r="F10" s="604">
        <f>J161/E10</f>
        <v>398.49985880682425</v>
      </c>
      <c r="G10" s="557" t="s">
        <v>206</v>
      </c>
      <c r="H10" s="565" t="s">
        <v>188</v>
      </c>
      <c r="I10" s="275" t="s">
        <v>277</v>
      </c>
      <c r="J10" s="276" t="s">
        <v>275</v>
      </c>
      <c r="K10" s="277"/>
    </row>
    <row r="11" spans="1:12" ht="15.95" customHeight="1">
      <c r="A11" s="556"/>
      <c r="B11" s="558"/>
      <c r="C11" s="560"/>
      <c r="D11" s="562"/>
      <c r="E11" s="588"/>
      <c r="F11" s="605"/>
      <c r="G11" s="558"/>
      <c r="H11" s="566"/>
      <c r="I11" s="278" t="s">
        <v>278</v>
      </c>
      <c r="J11" s="279" t="s">
        <v>276</v>
      </c>
      <c r="K11" s="280"/>
    </row>
    <row r="12" spans="1:12" ht="15.95" customHeight="1">
      <c r="A12" s="197">
        <v>7</v>
      </c>
      <c r="B12" s="184" t="s">
        <v>21</v>
      </c>
      <c r="C12" s="185" t="s">
        <v>268</v>
      </c>
      <c r="D12" s="226">
        <f>'indiv. panels'!K5</f>
        <v>38750</v>
      </c>
      <c r="E12" s="236">
        <v>0.95</v>
      </c>
      <c r="F12" s="294">
        <f>D12/480/SQRT(3)/E12</f>
        <v>49.06211169100439</v>
      </c>
      <c r="G12" s="212" t="s">
        <v>206</v>
      </c>
      <c r="H12" s="219" t="s">
        <v>188</v>
      </c>
      <c r="I12" s="571" t="s">
        <v>375</v>
      </c>
      <c r="J12" s="572"/>
      <c r="K12" s="249" t="s">
        <v>188</v>
      </c>
    </row>
    <row r="13" spans="1:12" ht="15.95" customHeight="1">
      <c r="A13" s="555">
        <v>8</v>
      </c>
      <c r="B13" s="557" t="s">
        <v>167</v>
      </c>
      <c r="C13" s="559" t="s">
        <v>259</v>
      </c>
      <c r="D13" s="561">
        <f>J132*208*SQRT(3)</f>
        <v>127389.70588235294</v>
      </c>
      <c r="E13" s="587">
        <v>0.8</v>
      </c>
      <c r="F13" s="604">
        <f>D12/480/SQRT(3)/E12</f>
        <v>49.06211169100439</v>
      </c>
      <c r="G13" s="557" t="s">
        <v>206</v>
      </c>
      <c r="H13" s="565" t="s">
        <v>188</v>
      </c>
      <c r="I13" s="275" t="s">
        <v>277</v>
      </c>
      <c r="J13" s="276" t="s">
        <v>275</v>
      </c>
      <c r="K13" s="277"/>
    </row>
    <row r="14" spans="1:12" ht="15.95" customHeight="1">
      <c r="A14" s="556"/>
      <c r="B14" s="558"/>
      <c r="C14" s="560"/>
      <c r="D14" s="562"/>
      <c r="E14" s="588"/>
      <c r="F14" s="605"/>
      <c r="G14" s="558"/>
      <c r="H14" s="566"/>
      <c r="I14" s="278" t="s">
        <v>278</v>
      </c>
      <c r="J14" s="279" t="s">
        <v>276</v>
      </c>
      <c r="K14" s="280"/>
    </row>
    <row r="15" spans="1:12" ht="15.95" customHeight="1">
      <c r="A15" s="555">
        <v>9</v>
      </c>
      <c r="B15" s="557" t="s">
        <v>163</v>
      </c>
      <c r="C15" s="559" t="s">
        <v>383</v>
      </c>
      <c r="D15" s="561">
        <f>J99*208*SQRT(3)</f>
        <v>377815.89158382756</v>
      </c>
      <c r="E15" s="587">
        <v>0.8</v>
      </c>
      <c r="F15" s="604">
        <f>J99/E15</f>
        <v>1310.8900643632289</v>
      </c>
      <c r="G15" s="557" t="s">
        <v>263</v>
      </c>
      <c r="H15" s="565" t="s">
        <v>188</v>
      </c>
      <c r="I15" s="275" t="s">
        <v>277</v>
      </c>
      <c r="J15" s="276" t="s">
        <v>280</v>
      </c>
      <c r="K15" s="277"/>
    </row>
    <row r="16" spans="1:12" ht="15.95" customHeight="1" thickBot="1">
      <c r="A16" s="610"/>
      <c r="B16" s="611"/>
      <c r="C16" s="612"/>
      <c r="D16" s="613"/>
      <c r="E16" s="614"/>
      <c r="F16" s="615"/>
      <c r="G16" s="611"/>
      <c r="H16" s="620"/>
      <c r="I16" s="289" t="s">
        <v>278</v>
      </c>
      <c r="J16" s="281" t="s">
        <v>281</v>
      </c>
      <c r="K16" s="282"/>
    </row>
    <row r="17" spans="1:12" ht="15.95" customHeight="1" thickBot="1">
      <c r="D17" s="526"/>
      <c r="E17" s="526"/>
      <c r="F17" s="526"/>
      <c r="G17" s="544" t="s">
        <v>194</v>
      </c>
      <c r="H17" s="545"/>
      <c r="I17" s="546"/>
      <c r="J17" s="403"/>
      <c r="K17" s="329" t="s">
        <v>188</v>
      </c>
    </row>
    <row r="18" spans="1:12" ht="15.95" customHeight="1" thickTop="1">
      <c r="D18" s="525"/>
      <c r="E18" s="525"/>
      <c r="F18" s="525"/>
      <c r="G18" s="541" t="s">
        <v>195</v>
      </c>
      <c r="H18" s="542"/>
      <c r="I18" s="543"/>
      <c r="J18" s="529">
        <f>SUM(F4:F16)</f>
        <v>2244.2822376386707</v>
      </c>
      <c r="K18" s="527"/>
      <c r="L18" s="22"/>
    </row>
    <row r="19" spans="1:12" ht="15.95" customHeight="1" thickBot="1">
      <c r="D19" s="337"/>
      <c r="E19" s="337"/>
      <c r="F19" s="337"/>
      <c r="G19" s="535" t="s">
        <v>199</v>
      </c>
      <c r="H19" s="536"/>
      <c r="I19" s="537"/>
      <c r="J19" s="405" t="s">
        <v>200</v>
      </c>
      <c r="K19" s="528"/>
      <c r="L19" s="22"/>
    </row>
    <row r="20" spans="1:12" ht="15.95" customHeight="1" thickBot="1">
      <c r="A20" s="643" t="s">
        <v>174</v>
      </c>
      <c r="B20" s="644"/>
      <c r="L20" s="22"/>
    </row>
    <row r="21" spans="1:12" ht="15.95" customHeight="1">
      <c r="A21" s="549" t="s">
        <v>202</v>
      </c>
      <c r="B21" s="551" t="s">
        <v>228</v>
      </c>
      <c r="C21" s="551"/>
      <c r="D21" s="552" t="s">
        <v>191</v>
      </c>
      <c r="E21" s="553"/>
      <c r="F21" s="554"/>
      <c r="G21" s="618" t="s">
        <v>381</v>
      </c>
      <c r="H21" s="619"/>
      <c r="I21" s="577" t="s">
        <v>314</v>
      </c>
      <c r="J21" s="553"/>
      <c r="K21" s="578"/>
    </row>
    <row r="22" spans="1:12" ht="15.95" customHeight="1" thickBot="1">
      <c r="A22" s="550"/>
      <c r="B22" s="193" t="s">
        <v>91</v>
      </c>
      <c r="C22" s="194" t="s">
        <v>164</v>
      </c>
      <c r="D22" s="193" t="s">
        <v>403</v>
      </c>
      <c r="E22" s="231" t="s">
        <v>265</v>
      </c>
      <c r="F22" s="195" t="s">
        <v>257</v>
      </c>
      <c r="G22" s="193" t="s">
        <v>187</v>
      </c>
      <c r="H22" s="218" t="s">
        <v>188</v>
      </c>
      <c r="I22" s="591" t="s">
        <v>187</v>
      </c>
      <c r="J22" s="592"/>
      <c r="K22" s="329" t="s">
        <v>188</v>
      </c>
    </row>
    <row r="23" spans="1:12" ht="15.95" customHeight="1" thickTop="1">
      <c r="A23" s="196">
        <v>1</v>
      </c>
      <c r="B23" s="186" t="s">
        <v>19</v>
      </c>
      <c r="C23" s="187" t="s">
        <v>268</v>
      </c>
      <c r="D23" s="396">
        <f>'indiv. panels'!K6</f>
        <v>101625</v>
      </c>
      <c r="E23" s="237">
        <v>0.95</v>
      </c>
      <c r="F23" s="291">
        <f>D23/480/SQRT(3)/0.95</f>
        <v>128.66934453156958</v>
      </c>
      <c r="G23" s="255" t="s">
        <v>206</v>
      </c>
      <c r="H23" s="264" t="s">
        <v>188</v>
      </c>
      <c r="I23" s="593" t="s">
        <v>375</v>
      </c>
      <c r="J23" s="594"/>
      <c r="K23" s="257" t="s">
        <v>188</v>
      </c>
    </row>
    <row r="24" spans="1:12" ht="15.95" customHeight="1">
      <c r="A24" s="197">
        <v>2</v>
      </c>
      <c r="B24" s="184" t="s">
        <v>1</v>
      </c>
      <c r="C24" s="187" t="s">
        <v>268</v>
      </c>
      <c r="D24" s="226">
        <f>'indiv. panels'!K4</f>
        <v>21375</v>
      </c>
      <c r="E24" s="237">
        <v>0.95</v>
      </c>
      <c r="F24" s="296">
        <f>D24/480/SQRT(3)/0.95</f>
        <v>27.063293868263713</v>
      </c>
      <c r="G24" s="212" t="s">
        <v>226</v>
      </c>
      <c r="H24" s="219" t="s">
        <v>188</v>
      </c>
      <c r="I24" s="571" t="s">
        <v>376</v>
      </c>
      <c r="J24" s="572"/>
      <c r="K24" s="249" t="s">
        <v>188</v>
      </c>
    </row>
    <row r="25" spans="1:12" ht="15.95" customHeight="1">
      <c r="A25" s="555">
        <v>3</v>
      </c>
      <c r="B25" s="557" t="s">
        <v>166</v>
      </c>
      <c r="C25" s="606" t="s">
        <v>382</v>
      </c>
      <c r="D25" s="561">
        <f>J117*208*SQRT(3)</f>
        <v>239063.14660928273</v>
      </c>
      <c r="E25" s="587">
        <v>0.8</v>
      </c>
      <c r="F25" s="604">
        <f>D25/208/SQRT(3)/E25</f>
        <v>829.46617817420884</v>
      </c>
      <c r="G25" s="557" t="s">
        <v>206</v>
      </c>
      <c r="H25" s="602" t="s">
        <v>189</v>
      </c>
      <c r="I25" s="284" t="s">
        <v>277</v>
      </c>
      <c r="J25" s="283" t="s">
        <v>275</v>
      </c>
      <c r="K25" s="285" t="s">
        <v>189</v>
      </c>
    </row>
    <row r="26" spans="1:12" ht="15.95" customHeight="1">
      <c r="A26" s="556"/>
      <c r="B26" s="558"/>
      <c r="C26" s="607"/>
      <c r="D26" s="562"/>
      <c r="E26" s="588"/>
      <c r="F26" s="605"/>
      <c r="G26" s="558"/>
      <c r="H26" s="603"/>
      <c r="I26" s="286" t="s">
        <v>278</v>
      </c>
      <c r="J26" s="287" t="s">
        <v>276</v>
      </c>
      <c r="K26" s="288" t="s">
        <v>189</v>
      </c>
    </row>
    <row r="27" spans="1:12" ht="15.95" customHeight="1">
      <c r="A27" s="555">
        <v>4</v>
      </c>
      <c r="B27" s="557" t="s">
        <v>168</v>
      </c>
      <c r="C27" s="606" t="s">
        <v>382</v>
      </c>
      <c r="D27" s="561">
        <f>J146*208*SQRT(3)</f>
        <v>88823.529411764714</v>
      </c>
      <c r="E27" s="587">
        <v>0.8</v>
      </c>
      <c r="F27" s="604">
        <f t="shared" ref="F27" si="0">D27/208/SQRT(3)/E27</f>
        <v>308.18683062653247</v>
      </c>
      <c r="G27" s="557" t="s">
        <v>206</v>
      </c>
      <c r="H27" s="602" t="s">
        <v>189</v>
      </c>
      <c r="I27" s="284" t="s">
        <v>277</v>
      </c>
      <c r="J27" s="283" t="s">
        <v>275</v>
      </c>
      <c r="K27" s="288" t="s">
        <v>189</v>
      </c>
    </row>
    <row r="28" spans="1:12" s="183" customFormat="1" ht="15.95" customHeight="1">
      <c r="A28" s="556"/>
      <c r="B28" s="558"/>
      <c r="C28" s="607"/>
      <c r="D28" s="562"/>
      <c r="E28" s="588"/>
      <c r="F28" s="605"/>
      <c r="G28" s="558"/>
      <c r="H28" s="603"/>
      <c r="I28" s="286" t="s">
        <v>278</v>
      </c>
      <c r="J28" s="287" t="s">
        <v>276</v>
      </c>
      <c r="K28" s="288" t="s">
        <v>189</v>
      </c>
      <c r="L28" s="182"/>
    </row>
    <row r="29" spans="1:12" s="181" customFormat="1" ht="15.95" customHeight="1">
      <c r="A29" s="555">
        <v>5</v>
      </c>
      <c r="B29" s="557" t="s">
        <v>170</v>
      </c>
      <c r="C29" s="606" t="s">
        <v>259</v>
      </c>
      <c r="D29" s="561">
        <f>J175*208*SQRT(3)</f>
        <v>81029.411764705903</v>
      </c>
      <c r="E29" s="587">
        <v>0.8</v>
      </c>
      <c r="F29" s="604">
        <f t="shared" ref="F29" si="1">D29/208/SQRT(3)/E29</f>
        <v>281.14394648215136</v>
      </c>
      <c r="G29" s="557" t="s">
        <v>206</v>
      </c>
      <c r="H29" s="602" t="s">
        <v>189</v>
      </c>
      <c r="I29" s="284" t="s">
        <v>277</v>
      </c>
      <c r="J29" s="283" t="s">
        <v>275</v>
      </c>
      <c r="K29" s="288" t="s">
        <v>189</v>
      </c>
    </row>
    <row r="30" spans="1:12" s="181" customFormat="1" ht="15.95" customHeight="1">
      <c r="A30" s="556"/>
      <c r="B30" s="558"/>
      <c r="C30" s="607"/>
      <c r="D30" s="562"/>
      <c r="E30" s="588"/>
      <c r="F30" s="605"/>
      <c r="G30" s="558"/>
      <c r="H30" s="603"/>
      <c r="I30" s="286" t="s">
        <v>278</v>
      </c>
      <c r="J30" s="287" t="s">
        <v>276</v>
      </c>
      <c r="K30" s="288" t="s">
        <v>189</v>
      </c>
      <c r="L30" s="180"/>
    </row>
    <row r="31" spans="1:12" ht="15.95" customHeight="1">
      <c r="A31" s="197">
        <v>6</v>
      </c>
      <c r="B31" s="184" t="s">
        <v>172</v>
      </c>
      <c r="C31" s="189" t="s">
        <v>259</v>
      </c>
      <c r="D31" s="226">
        <f>J204*208*SQRT(3)</f>
        <v>102205.88235294119</v>
      </c>
      <c r="E31" s="236">
        <v>0.8</v>
      </c>
      <c r="F31" s="292">
        <f t="shared" ref="F31" si="2">D31/208/SQRT(3)/E31</f>
        <v>354.61895245933789</v>
      </c>
      <c r="G31" s="212" t="s">
        <v>206</v>
      </c>
      <c r="H31" s="220" t="s">
        <v>189</v>
      </c>
      <c r="I31" s="608" t="s">
        <v>279</v>
      </c>
      <c r="J31" s="609"/>
      <c r="K31" s="249" t="s">
        <v>188</v>
      </c>
    </row>
    <row r="32" spans="1:12" ht="15.95" customHeight="1">
      <c r="A32" s="197">
        <v>7</v>
      </c>
      <c r="B32" s="184"/>
      <c r="C32" s="189" t="s">
        <v>184</v>
      </c>
      <c r="D32" s="226" t="s">
        <v>404</v>
      </c>
      <c r="E32" s="235"/>
      <c r="F32" s="292"/>
      <c r="G32" s="212" t="s">
        <v>223</v>
      </c>
      <c r="H32" s="219" t="s">
        <v>188</v>
      </c>
      <c r="I32" s="571" t="s">
        <v>258</v>
      </c>
      <c r="J32" s="572"/>
      <c r="K32" s="249" t="s">
        <v>188</v>
      </c>
    </row>
    <row r="33" spans="1:24" ht="15.95" customHeight="1">
      <c r="A33" s="199">
        <v>8</v>
      </c>
      <c r="B33" s="200"/>
      <c r="C33" s="201" t="s">
        <v>182</v>
      </c>
      <c r="D33" s="225"/>
      <c r="E33" s="238"/>
      <c r="F33" s="293"/>
      <c r="G33" s="245" t="s">
        <v>227</v>
      </c>
      <c r="H33" s="201"/>
      <c r="I33" s="596"/>
      <c r="J33" s="597"/>
      <c r="K33" s="338"/>
    </row>
    <row r="34" spans="1:24" ht="15.95" customHeight="1">
      <c r="A34" s="199">
        <v>9</v>
      </c>
      <c r="B34" s="200"/>
      <c r="C34" s="201" t="s">
        <v>182</v>
      </c>
      <c r="D34" s="225"/>
      <c r="E34" s="238"/>
      <c r="F34" s="293"/>
      <c r="G34" s="245" t="s">
        <v>227</v>
      </c>
      <c r="H34" s="201"/>
      <c r="I34" s="596"/>
      <c r="J34" s="597"/>
      <c r="K34" s="338"/>
    </row>
    <row r="35" spans="1:24" ht="15.95" customHeight="1">
      <c r="A35" s="199">
        <v>10</v>
      </c>
      <c r="B35" s="200"/>
      <c r="C35" s="201" t="s">
        <v>183</v>
      </c>
      <c r="D35" s="225"/>
      <c r="E35" s="238"/>
      <c r="F35" s="293"/>
      <c r="G35" s="245" t="s">
        <v>262</v>
      </c>
      <c r="H35" s="201"/>
      <c r="I35" s="596"/>
      <c r="J35" s="597"/>
      <c r="K35" s="338"/>
    </row>
    <row r="36" spans="1:24" ht="15.95" customHeight="1" thickBot="1">
      <c r="A36" s="199">
        <v>11</v>
      </c>
      <c r="B36" s="200"/>
      <c r="C36" s="201" t="s">
        <v>183</v>
      </c>
      <c r="D36" s="225"/>
      <c r="E36" s="238"/>
      <c r="F36" s="293"/>
      <c r="G36" s="245" t="s">
        <v>262</v>
      </c>
      <c r="H36" s="260"/>
      <c r="I36" s="598"/>
      <c r="J36" s="599"/>
      <c r="K36" s="338"/>
    </row>
    <row r="37" spans="1:24" ht="15.95" customHeight="1" thickBot="1">
      <c r="D37" s="526"/>
      <c r="E37" s="526"/>
      <c r="F37" s="526"/>
      <c r="G37" s="544" t="s">
        <v>194</v>
      </c>
      <c r="H37" s="545"/>
      <c r="I37" s="546"/>
      <c r="J37" s="403"/>
      <c r="K37" s="329" t="s">
        <v>188</v>
      </c>
    </row>
    <row r="38" spans="1:24" ht="15.95" customHeight="1" thickTop="1">
      <c r="D38" s="525"/>
      <c r="E38" s="525"/>
      <c r="F38" s="525"/>
      <c r="G38" s="541" t="s">
        <v>195</v>
      </c>
      <c r="H38" s="542"/>
      <c r="I38" s="543"/>
      <c r="J38" s="529">
        <f>SUM(F23:F36)</f>
        <v>1929.1485461420639</v>
      </c>
      <c r="K38" s="527"/>
      <c r="L38" s="22"/>
    </row>
    <row r="39" spans="1:24" ht="15.95" customHeight="1" thickBot="1">
      <c r="D39" s="337"/>
      <c r="E39" s="337"/>
      <c r="F39" s="337"/>
      <c r="G39" s="535" t="s">
        <v>199</v>
      </c>
      <c r="H39" s="536"/>
      <c r="I39" s="537"/>
      <c r="J39" s="405" t="s">
        <v>200</v>
      </c>
      <c r="K39" s="528"/>
      <c r="L39" s="22"/>
    </row>
    <row r="40" spans="1:24" ht="15.95" customHeight="1" thickBot="1">
      <c r="A40" s="623" t="s">
        <v>175</v>
      </c>
      <c r="B40" s="624"/>
      <c r="L40" s="22"/>
    </row>
    <row r="41" spans="1:24" ht="15.95" customHeight="1">
      <c r="A41" s="549" t="s">
        <v>202</v>
      </c>
      <c r="B41" s="551" t="s">
        <v>228</v>
      </c>
      <c r="C41" s="551"/>
      <c r="D41" s="552" t="s">
        <v>191</v>
      </c>
      <c r="E41" s="553"/>
      <c r="F41" s="554"/>
      <c r="G41" s="618" t="s">
        <v>381</v>
      </c>
      <c r="H41" s="619"/>
      <c r="I41" s="577" t="s">
        <v>314</v>
      </c>
      <c r="J41" s="553"/>
      <c r="K41" s="578"/>
    </row>
    <row r="42" spans="1:24" ht="15.95" customHeight="1" thickBot="1">
      <c r="A42" s="550"/>
      <c r="B42" s="193" t="s">
        <v>91</v>
      </c>
      <c r="C42" s="194" t="s">
        <v>164</v>
      </c>
      <c r="D42" s="193" t="s">
        <v>403</v>
      </c>
      <c r="E42" s="231" t="s">
        <v>265</v>
      </c>
      <c r="F42" s="195" t="s">
        <v>257</v>
      </c>
      <c r="G42" s="193" t="s">
        <v>187</v>
      </c>
      <c r="H42" s="218" t="s">
        <v>188</v>
      </c>
      <c r="I42" s="591" t="s">
        <v>187</v>
      </c>
      <c r="J42" s="592"/>
      <c r="K42" s="329" t="s">
        <v>188</v>
      </c>
    </row>
    <row r="43" spans="1:24" ht="15.95" customHeight="1" thickTop="1">
      <c r="A43" s="196">
        <v>1</v>
      </c>
      <c r="B43" s="186" t="s">
        <v>146</v>
      </c>
      <c r="C43" s="188" t="s">
        <v>285</v>
      </c>
      <c r="D43" s="186" t="s">
        <v>232</v>
      </c>
      <c r="E43" s="239">
        <v>0.9</v>
      </c>
      <c r="F43" s="291">
        <f>'mech loads'!I41</f>
        <v>232.81629490560692</v>
      </c>
      <c r="G43" s="186" t="s">
        <v>224</v>
      </c>
      <c r="H43" s="227" t="s">
        <v>189</v>
      </c>
      <c r="I43" s="593" t="s">
        <v>253</v>
      </c>
      <c r="J43" s="594"/>
      <c r="K43" s="330" t="s">
        <v>189</v>
      </c>
    </row>
    <row r="44" spans="1:24" ht="15.95" customHeight="1">
      <c r="A44" s="197">
        <v>2</v>
      </c>
      <c r="B44" s="184" t="s">
        <v>147</v>
      </c>
      <c r="C44" s="189" t="s">
        <v>285</v>
      </c>
      <c r="D44" s="184" t="s">
        <v>232</v>
      </c>
      <c r="E44" s="239">
        <v>0.9</v>
      </c>
      <c r="F44" s="291">
        <f>'mech loads'!I42</f>
        <v>232.81629490560692</v>
      </c>
      <c r="G44" s="184" t="s">
        <v>224</v>
      </c>
      <c r="H44" s="220" t="s">
        <v>189</v>
      </c>
      <c r="I44" s="571" t="s">
        <v>253</v>
      </c>
      <c r="J44" s="572"/>
      <c r="K44" s="331" t="s">
        <v>189</v>
      </c>
    </row>
    <row r="45" spans="1:24" ht="15.95" customHeight="1">
      <c r="A45" s="197">
        <v>3</v>
      </c>
      <c r="B45" s="184" t="s">
        <v>148</v>
      </c>
      <c r="C45" s="189" t="s">
        <v>285</v>
      </c>
      <c r="D45" s="184" t="s">
        <v>219</v>
      </c>
      <c r="E45" s="239">
        <v>0.9</v>
      </c>
      <c r="F45" s="296">
        <f>'mech loads'!I43</f>
        <v>46.563258981121379</v>
      </c>
      <c r="G45" s="184" t="s">
        <v>222</v>
      </c>
      <c r="H45" s="219" t="s">
        <v>188</v>
      </c>
      <c r="I45" s="571" t="s">
        <v>256</v>
      </c>
      <c r="J45" s="572"/>
      <c r="K45" s="259" t="s">
        <v>188</v>
      </c>
    </row>
    <row r="46" spans="1:24" ht="15.95" customHeight="1">
      <c r="A46" s="197">
        <v>4</v>
      </c>
      <c r="B46" s="184" t="s">
        <v>149</v>
      </c>
      <c r="C46" s="189" t="s">
        <v>285</v>
      </c>
      <c r="D46" s="184" t="s">
        <v>219</v>
      </c>
      <c r="E46" s="239">
        <v>0.9</v>
      </c>
      <c r="F46" s="296">
        <f>'mech loads'!I44</f>
        <v>46.563258981121379</v>
      </c>
      <c r="G46" s="184" t="s">
        <v>222</v>
      </c>
      <c r="H46" s="219" t="s">
        <v>188</v>
      </c>
      <c r="I46" s="571" t="s">
        <v>256</v>
      </c>
      <c r="J46" s="572"/>
      <c r="K46" s="259" t="s">
        <v>188</v>
      </c>
    </row>
    <row r="47" spans="1:24" ht="15.95" customHeight="1">
      <c r="A47" s="555">
        <v>5</v>
      </c>
      <c r="B47" s="557" t="s">
        <v>26</v>
      </c>
      <c r="C47" s="559" t="s">
        <v>384</v>
      </c>
      <c r="D47" s="561">
        <f>'indiv. panels'!K53</f>
        <v>15875</v>
      </c>
      <c r="E47" s="587">
        <v>0.85</v>
      </c>
      <c r="F47" s="589">
        <f>D47/208/SQRT(3)/0.85</f>
        <v>51.840698661681621</v>
      </c>
      <c r="G47" s="557" t="s">
        <v>226</v>
      </c>
      <c r="H47" s="565" t="s">
        <v>188</v>
      </c>
      <c r="I47" s="275" t="s">
        <v>277</v>
      </c>
      <c r="J47" s="276" t="s">
        <v>282</v>
      </c>
      <c r="K47" s="277"/>
    </row>
    <row r="48" spans="1:24" ht="15.95" customHeight="1">
      <c r="A48" s="556"/>
      <c r="B48" s="558"/>
      <c r="C48" s="560"/>
      <c r="D48" s="562"/>
      <c r="E48" s="588"/>
      <c r="F48" s="590"/>
      <c r="G48" s="558"/>
      <c r="H48" s="566"/>
      <c r="I48" s="278" t="s">
        <v>278</v>
      </c>
      <c r="J48" s="279" t="s">
        <v>283</v>
      </c>
      <c r="K48" s="280"/>
      <c r="X48" s="179"/>
    </row>
    <row r="49" spans="1:24" ht="15.95" customHeight="1">
      <c r="A49" s="197">
        <v>6</v>
      </c>
      <c r="B49" s="184" t="s">
        <v>185</v>
      </c>
      <c r="C49" s="189" t="s">
        <v>284</v>
      </c>
      <c r="D49" s="226">
        <f>MCC!E14*480*SQRT(3)</f>
        <v>38409.95870864742</v>
      </c>
      <c r="E49" s="236">
        <v>0.85</v>
      </c>
      <c r="F49" s="294">
        <f>D49/E49/480/SQRT(3)</f>
        <v>54.352941176470587</v>
      </c>
      <c r="G49" s="184" t="s">
        <v>227</v>
      </c>
      <c r="H49" s="219" t="s">
        <v>188</v>
      </c>
      <c r="I49" s="579" t="s">
        <v>412</v>
      </c>
      <c r="J49" s="580"/>
      <c r="K49" s="277" t="s">
        <v>188</v>
      </c>
      <c r="X49" s="181"/>
    </row>
    <row r="50" spans="1:24" ht="15.95" customHeight="1">
      <c r="A50" s="197">
        <v>7</v>
      </c>
      <c r="B50" s="184"/>
      <c r="C50" s="189" t="s">
        <v>229</v>
      </c>
      <c r="D50" s="226"/>
      <c r="E50" s="236"/>
      <c r="F50" s="292"/>
      <c r="G50" s="184" t="s">
        <v>233</v>
      </c>
      <c r="H50" s="219"/>
      <c r="I50" s="571" t="s">
        <v>254</v>
      </c>
      <c r="J50" s="572"/>
      <c r="K50" s="259"/>
      <c r="X50" s="181"/>
    </row>
    <row r="51" spans="1:24" ht="15.95" customHeight="1">
      <c r="A51" s="197">
        <v>8</v>
      </c>
      <c r="B51" s="184"/>
      <c r="C51" s="189" t="s">
        <v>230</v>
      </c>
      <c r="D51" s="226"/>
      <c r="E51" s="236"/>
      <c r="F51" s="292"/>
      <c r="G51" s="184" t="s">
        <v>222</v>
      </c>
      <c r="H51" s="219"/>
      <c r="I51" s="571" t="s">
        <v>234</v>
      </c>
      <c r="J51" s="572"/>
      <c r="K51" s="259"/>
      <c r="L51" s="181"/>
    </row>
    <row r="52" spans="1:24" ht="15.95" customHeight="1">
      <c r="A52" s="199">
        <v>9</v>
      </c>
      <c r="B52" s="200"/>
      <c r="C52" s="201" t="s">
        <v>182</v>
      </c>
      <c r="D52" s="225"/>
      <c r="E52" s="240"/>
      <c r="F52" s="293"/>
      <c r="G52" s="200" t="s">
        <v>223</v>
      </c>
      <c r="H52" s="223"/>
      <c r="I52" s="581"/>
      <c r="J52" s="582"/>
      <c r="K52" s="263"/>
      <c r="L52" s="180"/>
    </row>
    <row r="53" spans="1:24" ht="15.95" customHeight="1">
      <c r="A53" s="197">
        <v>10</v>
      </c>
      <c r="B53" s="184"/>
      <c r="C53" s="189" t="s">
        <v>231</v>
      </c>
      <c r="D53" s="226"/>
      <c r="E53" s="236"/>
      <c r="F53" s="292"/>
      <c r="G53" s="184" t="s">
        <v>223</v>
      </c>
      <c r="H53" s="219"/>
      <c r="I53" s="583"/>
      <c r="J53" s="584"/>
      <c r="K53" s="259"/>
    </row>
    <row r="54" spans="1:24" ht="15.95" customHeight="1">
      <c r="A54" s="199">
        <v>11</v>
      </c>
      <c r="B54" s="200"/>
      <c r="C54" s="201" t="s">
        <v>182</v>
      </c>
      <c r="D54" s="225"/>
      <c r="E54" s="240"/>
      <c r="F54" s="293"/>
      <c r="G54" s="200" t="s">
        <v>227</v>
      </c>
      <c r="H54" s="223"/>
      <c r="I54" s="581"/>
      <c r="J54" s="582"/>
      <c r="K54" s="263"/>
    </row>
    <row r="55" spans="1:24" ht="15.95" customHeight="1" thickBot="1">
      <c r="A55" s="343">
        <v>12</v>
      </c>
      <c r="B55" s="261"/>
      <c r="C55" s="260" t="s">
        <v>183</v>
      </c>
      <c r="D55" s="395"/>
      <c r="E55" s="346"/>
      <c r="F55" s="297"/>
      <c r="G55" s="261"/>
      <c r="H55" s="347"/>
      <c r="I55" s="585"/>
      <c r="J55" s="586"/>
      <c r="K55" s="348"/>
    </row>
    <row r="56" spans="1:24" ht="15.95" customHeight="1" thickBot="1">
      <c r="D56" s="526"/>
      <c r="E56" s="526"/>
      <c r="F56" s="526"/>
      <c r="G56" s="544" t="s">
        <v>194</v>
      </c>
      <c r="H56" s="545"/>
      <c r="I56" s="546"/>
      <c r="J56" s="403"/>
      <c r="K56" s="329" t="s">
        <v>188</v>
      </c>
    </row>
    <row r="57" spans="1:24" ht="15.95" customHeight="1" thickTop="1">
      <c r="D57" s="525"/>
      <c r="E57" s="525"/>
      <c r="F57" s="525"/>
      <c r="G57" s="541" t="s">
        <v>195</v>
      </c>
      <c r="H57" s="542"/>
      <c r="I57" s="543"/>
      <c r="J57" s="529">
        <f>SUM(F43:F55)</f>
        <v>664.95274761160886</v>
      </c>
      <c r="K57" s="527"/>
    </row>
    <row r="58" spans="1:24" ht="15.95" customHeight="1" thickBot="1">
      <c r="D58" s="337"/>
      <c r="E58" s="337"/>
      <c r="F58" s="337"/>
      <c r="G58" s="535" t="s">
        <v>199</v>
      </c>
      <c r="H58" s="536"/>
      <c r="I58" s="537"/>
      <c r="J58" s="405" t="s">
        <v>200</v>
      </c>
      <c r="K58" s="528"/>
    </row>
    <row r="59" spans="1:24" ht="15.95" customHeight="1" thickBot="1">
      <c r="A59" s="623" t="s">
        <v>176</v>
      </c>
      <c r="B59" s="624"/>
    </row>
    <row r="60" spans="1:24" ht="15.95" customHeight="1">
      <c r="A60" s="549" t="s">
        <v>202</v>
      </c>
      <c r="B60" s="551" t="s">
        <v>228</v>
      </c>
      <c r="C60" s="551"/>
      <c r="D60" s="552" t="s">
        <v>191</v>
      </c>
      <c r="E60" s="553"/>
      <c r="F60" s="554"/>
      <c r="G60" s="618" t="s">
        <v>381</v>
      </c>
      <c r="H60" s="619"/>
      <c r="I60" s="577" t="s">
        <v>314</v>
      </c>
      <c r="J60" s="553"/>
      <c r="K60" s="578"/>
    </row>
    <row r="61" spans="1:24" ht="15.95" customHeight="1" thickBot="1">
      <c r="A61" s="550"/>
      <c r="B61" s="193" t="s">
        <v>91</v>
      </c>
      <c r="C61" s="194" t="s">
        <v>164</v>
      </c>
      <c r="D61" s="193" t="s">
        <v>403</v>
      </c>
      <c r="E61" s="231" t="s">
        <v>265</v>
      </c>
      <c r="F61" s="195" t="s">
        <v>257</v>
      </c>
      <c r="G61" s="193" t="s">
        <v>187</v>
      </c>
      <c r="H61" s="218" t="s">
        <v>188</v>
      </c>
      <c r="I61" s="591" t="s">
        <v>187</v>
      </c>
      <c r="J61" s="592"/>
      <c r="K61" s="329" t="s">
        <v>188</v>
      </c>
    </row>
    <row r="62" spans="1:24" ht="15.95" customHeight="1" thickTop="1">
      <c r="A62" s="196">
        <v>1</v>
      </c>
      <c r="B62" s="186" t="s">
        <v>4</v>
      </c>
      <c r="C62" s="187" t="s">
        <v>267</v>
      </c>
      <c r="D62" s="396">
        <f>'indiv. panels'!K38</f>
        <v>26125</v>
      </c>
      <c r="E62" s="237">
        <v>0.85</v>
      </c>
      <c r="F62" s="291">
        <f>D62/208/SQRT(3)/E62</f>
        <v>85.312645829066597</v>
      </c>
      <c r="G62" s="255" t="s">
        <v>206</v>
      </c>
      <c r="H62" s="219" t="s">
        <v>188</v>
      </c>
      <c r="I62" s="593" t="s">
        <v>375</v>
      </c>
      <c r="J62" s="594"/>
      <c r="K62" s="249" t="s">
        <v>188</v>
      </c>
    </row>
    <row r="63" spans="1:24" ht="15.95" customHeight="1">
      <c r="A63" s="197">
        <v>2</v>
      </c>
      <c r="B63" s="184" t="s">
        <v>22</v>
      </c>
      <c r="C63" s="185" t="s">
        <v>267</v>
      </c>
      <c r="D63" s="396">
        <f>'indiv. panels'!K39</f>
        <v>28831.25</v>
      </c>
      <c r="E63" s="235">
        <v>0.85</v>
      </c>
      <c r="F63" s="291">
        <f t="shared" ref="F63:F66" si="3">D63/208/SQRT(3)/E63</f>
        <v>94.150056270211536</v>
      </c>
      <c r="G63" s="212" t="s">
        <v>206</v>
      </c>
      <c r="H63" s="219" t="s">
        <v>188</v>
      </c>
      <c r="I63" s="571" t="s">
        <v>375</v>
      </c>
      <c r="J63" s="572"/>
      <c r="K63" s="249" t="s">
        <v>188</v>
      </c>
    </row>
    <row r="64" spans="1:24" ht="15.95" customHeight="1">
      <c r="A64" s="197">
        <v>3</v>
      </c>
      <c r="B64" s="184" t="s">
        <v>23</v>
      </c>
      <c r="C64" s="185" t="s">
        <v>267</v>
      </c>
      <c r="D64" s="396">
        <f>'indiv. panels'!K40</f>
        <v>37043.75</v>
      </c>
      <c r="E64" s="235">
        <v>0.85</v>
      </c>
      <c r="F64" s="291">
        <f t="shared" si="3"/>
        <v>120.96843345188462</v>
      </c>
      <c r="G64" s="212" t="s">
        <v>206</v>
      </c>
      <c r="H64" s="219" t="s">
        <v>188</v>
      </c>
      <c r="I64" s="571" t="s">
        <v>375</v>
      </c>
      <c r="J64" s="572"/>
      <c r="K64" s="249" t="s">
        <v>188</v>
      </c>
    </row>
    <row r="65" spans="1:12" ht="15.95" customHeight="1">
      <c r="A65" s="197">
        <v>4</v>
      </c>
      <c r="B65" s="184" t="s">
        <v>24</v>
      </c>
      <c r="C65" s="185" t="s">
        <v>267</v>
      </c>
      <c r="D65" s="396">
        <f>'indiv. panels'!K41</f>
        <v>35012.5</v>
      </c>
      <c r="E65" s="235">
        <v>0.85</v>
      </c>
      <c r="F65" s="291">
        <f t="shared" si="3"/>
        <v>114.33527319005529</v>
      </c>
      <c r="G65" s="212" t="s">
        <v>206</v>
      </c>
      <c r="H65" s="219" t="s">
        <v>188</v>
      </c>
      <c r="I65" s="571" t="s">
        <v>375</v>
      </c>
      <c r="J65" s="572"/>
      <c r="K65" s="249" t="s">
        <v>188</v>
      </c>
    </row>
    <row r="66" spans="1:12" ht="15.95" customHeight="1">
      <c r="A66" s="197">
        <v>5</v>
      </c>
      <c r="B66" s="184" t="s">
        <v>25</v>
      </c>
      <c r="C66" s="185" t="s">
        <v>267</v>
      </c>
      <c r="D66" s="226">
        <f>'indiv. panels'!K52</f>
        <v>12750</v>
      </c>
      <c r="E66" s="235">
        <v>0.85</v>
      </c>
      <c r="F66" s="291">
        <f t="shared" si="3"/>
        <v>41.635836720405699</v>
      </c>
      <c r="G66" s="212" t="s">
        <v>226</v>
      </c>
      <c r="H66" s="219" t="s">
        <v>188</v>
      </c>
      <c r="I66" s="571" t="s">
        <v>376</v>
      </c>
      <c r="J66" s="572"/>
      <c r="K66" s="249" t="s">
        <v>188</v>
      </c>
    </row>
    <row r="67" spans="1:12" ht="15.95" customHeight="1">
      <c r="A67" s="197">
        <v>6</v>
      </c>
      <c r="B67" s="184" t="s">
        <v>77</v>
      </c>
      <c r="C67" s="185" t="s">
        <v>266</v>
      </c>
      <c r="D67" s="217">
        <f>'indiv. panels'!I60</f>
        <v>4170</v>
      </c>
      <c r="E67" s="235"/>
      <c r="F67" s="294">
        <f t="shared" ref="F67:F71" si="4">D67/120</f>
        <v>34.75</v>
      </c>
      <c r="G67" s="212" t="s">
        <v>226</v>
      </c>
      <c r="H67" s="219" t="s">
        <v>188</v>
      </c>
      <c r="I67" s="573" t="s">
        <v>378</v>
      </c>
      <c r="J67" s="574"/>
      <c r="K67" s="249" t="s">
        <v>188</v>
      </c>
    </row>
    <row r="68" spans="1:12" ht="15.95" customHeight="1">
      <c r="A68" s="197">
        <v>7</v>
      </c>
      <c r="B68" s="184" t="s">
        <v>78</v>
      </c>
      <c r="C68" s="185" t="s">
        <v>266</v>
      </c>
      <c r="D68" s="217">
        <f>'indiv. panels'!I61</f>
        <v>4600</v>
      </c>
      <c r="E68" s="235"/>
      <c r="F68" s="294">
        <f t="shared" si="4"/>
        <v>38.333333333333336</v>
      </c>
      <c r="G68" s="212" t="s">
        <v>226</v>
      </c>
      <c r="H68" s="219" t="s">
        <v>188</v>
      </c>
      <c r="I68" s="573" t="s">
        <v>378</v>
      </c>
      <c r="J68" s="574"/>
      <c r="K68" s="249" t="s">
        <v>188</v>
      </c>
    </row>
    <row r="69" spans="1:12" ht="15.95" customHeight="1">
      <c r="A69" s="197">
        <v>8</v>
      </c>
      <c r="B69" s="184" t="s">
        <v>79</v>
      </c>
      <c r="C69" s="185" t="s">
        <v>266</v>
      </c>
      <c r="D69" s="217">
        <f>'indiv. panels'!I62</f>
        <v>4800</v>
      </c>
      <c r="E69" s="235"/>
      <c r="F69" s="294">
        <f t="shared" si="4"/>
        <v>40</v>
      </c>
      <c r="G69" s="212" t="s">
        <v>226</v>
      </c>
      <c r="H69" s="219" t="s">
        <v>188</v>
      </c>
      <c r="I69" s="573" t="s">
        <v>378</v>
      </c>
      <c r="J69" s="574"/>
      <c r="K69" s="249" t="s">
        <v>188</v>
      </c>
    </row>
    <row r="70" spans="1:12" ht="15.95" customHeight="1">
      <c r="A70" s="197">
        <v>9</v>
      </c>
      <c r="B70" s="184" t="s">
        <v>80</v>
      </c>
      <c r="C70" s="185" t="s">
        <v>266</v>
      </c>
      <c r="D70" s="217">
        <f>'indiv. panels'!I54</f>
        <v>6030</v>
      </c>
      <c r="E70" s="235"/>
      <c r="F70" s="294">
        <f t="shared" si="4"/>
        <v>50.25</v>
      </c>
      <c r="G70" s="212" t="s">
        <v>226</v>
      </c>
      <c r="H70" s="219" t="s">
        <v>188</v>
      </c>
      <c r="I70" s="573" t="s">
        <v>378</v>
      </c>
      <c r="J70" s="574"/>
      <c r="K70" s="249" t="s">
        <v>188</v>
      </c>
    </row>
    <row r="71" spans="1:12" ht="15.95" customHeight="1">
      <c r="A71" s="197">
        <v>10</v>
      </c>
      <c r="B71" s="184" t="s">
        <v>81</v>
      </c>
      <c r="C71" s="185" t="s">
        <v>266</v>
      </c>
      <c r="D71" s="217">
        <f>'indiv. panels'!I55</f>
        <v>5400</v>
      </c>
      <c r="E71" s="235"/>
      <c r="F71" s="294">
        <f t="shared" si="4"/>
        <v>45</v>
      </c>
      <c r="G71" s="212" t="s">
        <v>226</v>
      </c>
      <c r="H71" s="219" t="s">
        <v>188</v>
      </c>
      <c r="I71" s="573" t="s">
        <v>378</v>
      </c>
      <c r="J71" s="574"/>
      <c r="K71" s="249" t="s">
        <v>188</v>
      </c>
    </row>
    <row r="72" spans="1:12" ht="15.95" customHeight="1">
      <c r="A72" s="197">
        <v>11</v>
      </c>
      <c r="B72" s="184"/>
      <c r="C72" s="189" t="s">
        <v>208</v>
      </c>
      <c r="D72" s="226"/>
      <c r="E72" s="235"/>
      <c r="F72" s="292"/>
      <c r="G72" s="212" t="s">
        <v>261</v>
      </c>
      <c r="H72" s="219"/>
      <c r="I72" s="573" t="s">
        <v>377</v>
      </c>
      <c r="J72" s="574"/>
      <c r="K72" s="249" t="s">
        <v>188</v>
      </c>
      <c r="L72" s="181"/>
    </row>
    <row r="73" spans="1:12" ht="15.95" customHeight="1">
      <c r="A73" s="197">
        <v>12</v>
      </c>
      <c r="B73" s="184"/>
      <c r="C73" s="189" t="s">
        <v>209</v>
      </c>
      <c r="D73" s="226"/>
      <c r="E73" s="235"/>
      <c r="F73" s="292"/>
      <c r="G73" s="212" t="s">
        <v>261</v>
      </c>
      <c r="H73" s="219"/>
      <c r="I73" s="573" t="s">
        <v>377</v>
      </c>
      <c r="J73" s="574"/>
      <c r="K73" s="249" t="s">
        <v>188</v>
      </c>
      <c r="L73" s="180"/>
    </row>
    <row r="74" spans="1:12" ht="15.95" customHeight="1">
      <c r="A74" s="199">
        <v>13</v>
      </c>
      <c r="B74" s="200"/>
      <c r="C74" s="201" t="s">
        <v>183</v>
      </c>
      <c r="D74" s="225"/>
      <c r="E74" s="238"/>
      <c r="F74" s="293"/>
      <c r="G74" s="245" t="s">
        <v>262</v>
      </c>
      <c r="H74" s="201"/>
      <c r="I74" s="596"/>
      <c r="J74" s="597"/>
      <c r="K74" s="338"/>
    </row>
    <row r="75" spans="1:12" ht="15.95" customHeight="1" thickBot="1">
      <c r="A75" s="343">
        <v>14</v>
      </c>
      <c r="B75" s="261"/>
      <c r="C75" s="260" t="s">
        <v>183</v>
      </c>
      <c r="D75" s="395"/>
      <c r="E75" s="345"/>
      <c r="F75" s="297"/>
      <c r="G75" s="268" t="s">
        <v>262</v>
      </c>
      <c r="H75" s="260"/>
      <c r="I75" s="598"/>
      <c r="J75" s="599"/>
      <c r="K75" s="344"/>
    </row>
    <row r="76" spans="1:12" ht="15.95" customHeight="1" thickBot="1">
      <c r="D76" s="526"/>
      <c r="E76" s="526"/>
      <c r="F76" s="526"/>
      <c r="G76" s="544" t="s">
        <v>194</v>
      </c>
      <c r="H76" s="545"/>
      <c r="I76" s="546"/>
      <c r="J76" s="403"/>
      <c r="K76" s="329" t="s">
        <v>188</v>
      </c>
    </row>
    <row r="77" spans="1:12" ht="15.95" customHeight="1" thickTop="1">
      <c r="D77" s="525"/>
      <c r="E77" s="525"/>
      <c r="F77" s="525"/>
      <c r="G77" s="541" t="s">
        <v>195</v>
      </c>
      <c r="H77" s="542"/>
      <c r="I77" s="543"/>
      <c r="J77" s="529">
        <f>SUM(F62:F75)</f>
        <v>664.73557879495706</v>
      </c>
      <c r="K77" s="527"/>
    </row>
    <row r="78" spans="1:12" ht="15.95" customHeight="1" thickBot="1">
      <c r="D78" s="337"/>
      <c r="E78" s="337"/>
      <c r="F78" s="337"/>
      <c r="G78" s="535" t="s">
        <v>199</v>
      </c>
      <c r="H78" s="536"/>
      <c r="I78" s="537"/>
      <c r="J78" s="405" t="s">
        <v>200</v>
      </c>
      <c r="K78" s="528" t="s">
        <v>413</v>
      </c>
    </row>
    <row r="79" spans="1:12" ht="15.95" customHeight="1" thickBot="1">
      <c r="A79" s="623" t="s">
        <v>163</v>
      </c>
      <c r="B79" s="624"/>
    </row>
    <row r="80" spans="1:12" ht="15.95" customHeight="1">
      <c r="A80" s="549" t="s">
        <v>202</v>
      </c>
      <c r="B80" s="551" t="s">
        <v>228</v>
      </c>
      <c r="C80" s="551"/>
      <c r="D80" s="552" t="s">
        <v>191</v>
      </c>
      <c r="E80" s="553"/>
      <c r="F80" s="554"/>
      <c r="G80" s="618" t="s">
        <v>192</v>
      </c>
      <c r="H80" s="619"/>
      <c r="I80" s="211"/>
      <c r="J80" s="551" t="s">
        <v>186</v>
      </c>
      <c r="K80" s="625"/>
    </row>
    <row r="81" spans="1:12" ht="15.95" customHeight="1" thickBot="1">
      <c r="A81" s="550"/>
      <c r="B81" s="193" t="s">
        <v>91</v>
      </c>
      <c r="C81" s="194" t="s">
        <v>164</v>
      </c>
      <c r="D81" s="193" t="s">
        <v>403</v>
      </c>
      <c r="E81" s="231" t="s">
        <v>265</v>
      </c>
      <c r="F81" s="195" t="s">
        <v>257</v>
      </c>
      <c r="G81" s="193" t="s">
        <v>187</v>
      </c>
      <c r="H81" s="218" t="s">
        <v>188</v>
      </c>
      <c r="I81" s="271"/>
      <c r="J81" s="242" t="s">
        <v>187</v>
      </c>
      <c r="K81" s="329" t="s">
        <v>188</v>
      </c>
    </row>
    <row r="82" spans="1:12" ht="15.95" customHeight="1" thickTop="1">
      <c r="A82" s="202">
        <v>1</v>
      </c>
      <c r="B82" s="203"/>
      <c r="C82" s="204" t="s">
        <v>183</v>
      </c>
      <c r="D82" s="224"/>
      <c r="E82" s="241"/>
      <c r="F82" s="298"/>
      <c r="G82" s="244" t="s">
        <v>262</v>
      </c>
      <c r="H82" s="250"/>
      <c r="I82" s="273"/>
      <c r="J82" s="251"/>
      <c r="K82" s="246"/>
    </row>
    <row r="83" spans="1:12" ht="15.95" customHeight="1">
      <c r="A83" s="199">
        <v>2</v>
      </c>
      <c r="B83" s="200"/>
      <c r="C83" s="201" t="s">
        <v>183</v>
      </c>
      <c r="D83" s="225"/>
      <c r="E83" s="238"/>
      <c r="F83" s="293"/>
      <c r="G83" s="245" t="s">
        <v>262</v>
      </c>
      <c r="H83" s="223"/>
      <c r="I83" s="272"/>
      <c r="J83" s="243"/>
      <c r="K83" s="247"/>
    </row>
    <row r="84" spans="1:12" ht="15.95" customHeight="1">
      <c r="A84" s="199">
        <v>3</v>
      </c>
      <c r="B84" s="200"/>
      <c r="C84" s="201" t="s">
        <v>182</v>
      </c>
      <c r="D84" s="225"/>
      <c r="E84" s="238"/>
      <c r="F84" s="293"/>
      <c r="G84" s="245" t="s">
        <v>227</v>
      </c>
      <c r="H84" s="252"/>
      <c r="I84" s="274"/>
      <c r="J84" s="243"/>
      <c r="K84" s="248"/>
      <c r="L84" s="22"/>
    </row>
    <row r="85" spans="1:12" ht="15.95" customHeight="1">
      <c r="A85" s="199">
        <v>4</v>
      </c>
      <c r="B85" s="200"/>
      <c r="C85" s="201" t="s">
        <v>182</v>
      </c>
      <c r="D85" s="225"/>
      <c r="E85" s="238"/>
      <c r="F85" s="293"/>
      <c r="G85" s="245" t="s">
        <v>227</v>
      </c>
      <c r="H85" s="252"/>
      <c r="I85" s="274"/>
      <c r="J85" s="243"/>
      <c r="K85" s="248"/>
      <c r="L85" s="22"/>
    </row>
    <row r="86" spans="1:12" ht="15.95" customHeight="1">
      <c r="A86" s="197">
        <v>5</v>
      </c>
      <c r="B86" s="184" t="s">
        <v>11</v>
      </c>
      <c r="C86" s="221">
        <v>120</v>
      </c>
      <c r="D86" s="226">
        <f>'indiv. panels'!I57</f>
        <v>5640</v>
      </c>
      <c r="E86" s="235">
        <v>0.95</v>
      </c>
      <c r="F86" s="294">
        <f>D86/C86/E86</f>
        <v>49.473684210526315</v>
      </c>
      <c r="G86" s="212" t="s">
        <v>226</v>
      </c>
      <c r="H86" s="219" t="s">
        <v>188</v>
      </c>
      <c r="I86" s="573" t="s">
        <v>378</v>
      </c>
      <c r="J86" s="574"/>
      <c r="K86" s="249" t="s">
        <v>188</v>
      </c>
      <c r="L86" s="22"/>
    </row>
    <row r="87" spans="1:12" ht="15.95" customHeight="1">
      <c r="A87" s="197">
        <v>6</v>
      </c>
      <c r="B87" s="184" t="s">
        <v>10</v>
      </c>
      <c r="C87" s="221">
        <v>120</v>
      </c>
      <c r="D87" s="226">
        <f>'indiv. panels'!I56</f>
        <v>3230</v>
      </c>
      <c r="E87" s="235">
        <v>0.95</v>
      </c>
      <c r="F87" s="294">
        <f t="shared" ref="F87:F91" si="5">D87/C87/E87</f>
        <v>28.333333333333336</v>
      </c>
      <c r="G87" s="212" t="s">
        <v>226</v>
      </c>
      <c r="H87" s="219" t="s">
        <v>188</v>
      </c>
      <c r="I87" s="573" t="s">
        <v>378</v>
      </c>
      <c r="J87" s="574"/>
      <c r="K87" s="249" t="s">
        <v>188</v>
      </c>
    </row>
    <row r="88" spans="1:12" ht="15.95" customHeight="1">
      <c r="A88" s="197">
        <v>7</v>
      </c>
      <c r="B88" s="184" t="s">
        <v>9</v>
      </c>
      <c r="C88" s="221">
        <v>120</v>
      </c>
      <c r="D88" s="226">
        <f>'indiv. panels'!I68</f>
        <v>6350</v>
      </c>
      <c r="E88" s="235">
        <v>0.95</v>
      </c>
      <c r="F88" s="294">
        <f t="shared" si="5"/>
        <v>55.701754385964911</v>
      </c>
      <c r="G88" s="212" t="s">
        <v>226</v>
      </c>
      <c r="H88" s="219" t="s">
        <v>188</v>
      </c>
      <c r="I88" s="573" t="s">
        <v>378</v>
      </c>
      <c r="J88" s="574"/>
      <c r="K88" s="249" t="s">
        <v>188</v>
      </c>
    </row>
    <row r="89" spans="1:12" ht="15.95" customHeight="1">
      <c r="A89" s="197">
        <v>8</v>
      </c>
      <c r="B89" s="184" t="s">
        <v>8</v>
      </c>
      <c r="C89" s="221">
        <v>120</v>
      </c>
      <c r="D89" s="226">
        <f>'indiv. panels'!I67</f>
        <v>7120</v>
      </c>
      <c r="E89" s="235">
        <v>0.95</v>
      </c>
      <c r="F89" s="294">
        <f t="shared" si="5"/>
        <v>62.456140350877199</v>
      </c>
      <c r="G89" s="212" t="s">
        <v>226</v>
      </c>
      <c r="H89" s="220" t="s">
        <v>189</v>
      </c>
      <c r="I89" s="573" t="s">
        <v>378</v>
      </c>
      <c r="J89" s="574"/>
      <c r="K89" s="331" t="s">
        <v>189</v>
      </c>
    </row>
    <row r="90" spans="1:12" ht="15.95" customHeight="1">
      <c r="A90" s="197">
        <v>9</v>
      </c>
      <c r="B90" s="184" t="s">
        <v>7</v>
      </c>
      <c r="C90" s="221">
        <v>120</v>
      </c>
      <c r="D90" s="226">
        <f>'indiv. panels'!I66</f>
        <v>3470</v>
      </c>
      <c r="E90" s="235">
        <v>0.95</v>
      </c>
      <c r="F90" s="294">
        <f t="shared" si="5"/>
        <v>30.438596491228072</v>
      </c>
      <c r="G90" s="212" t="s">
        <v>226</v>
      </c>
      <c r="H90" s="219" t="s">
        <v>188</v>
      </c>
      <c r="I90" s="573" t="s">
        <v>378</v>
      </c>
      <c r="J90" s="574"/>
      <c r="K90" s="249" t="s">
        <v>188</v>
      </c>
    </row>
    <row r="91" spans="1:12" ht="15.95" customHeight="1">
      <c r="A91" s="197">
        <v>10</v>
      </c>
      <c r="B91" s="184" t="s">
        <v>5</v>
      </c>
      <c r="C91" s="221">
        <v>120</v>
      </c>
      <c r="D91" s="226">
        <f>'indiv. panels'!I65</f>
        <v>3660</v>
      </c>
      <c r="E91" s="235">
        <v>0.95</v>
      </c>
      <c r="F91" s="294">
        <f t="shared" si="5"/>
        <v>32.10526315789474</v>
      </c>
      <c r="G91" s="212" t="s">
        <v>226</v>
      </c>
      <c r="H91" s="219" t="s">
        <v>188</v>
      </c>
      <c r="I91" s="573" t="s">
        <v>378</v>
      </c>
      <c r="J91" s="574"/>
      <c r="K91" s="249" t="s">
        <v>188</v>
      </c>
    </row>
    <row r="92" spans="1:12" ht="15.95" customHeight="1">
      <c r="A92" s="197">
        <v>11</v>
      </c>
      <c r="B92" s="184" t="s">
        <v>32</v>
      </c>
      <c r="C92" s="221" t="s">
        <v>264</v>
      </c>
      <c r="D92" s="226">
        <f>'indiv. panels'!K44</f>
        <v>29006.25</v>
      </c>
      <c r="E92" s="236">
        <v>0.85</v>
      </c>
      <c r="F92" s="294">
        <f>D92/208/SQRT(3)/E92</f>
        <v>94.721528538922982</v>
      </c>
      <c r="G92" s="212" t="s">
        <v>227</v>
      </c>
      <c r="H92" s="219" t="s">
        <v>188</v>
      </c>
      <c r="I92" s="575" t="s">
        <v>379</v>
      </c>
      <c r="J92" s="576"/>
      <c r="K92" s="249" t="s">
        <v>188</v>
      </c>
    </row>
    <row r="93" spans="1:12" ht="15.95" customHeight="1">
      <c r="A93" s="197">
        <v>12</v>
      </c>
      <c r="B93" s="184" t="s">
        <v>31</v>
      </c>
      <c r="C93" s="221" t="s">
        <v>264</v>
      </c>
      <c r="D93" s="226">
        <f>'indiv. panels'!K14</f>
        <v>63250</v>
      </c>
      <c r="E93" s="236">
        <v>0.85</v>
      </c>
      <c r="F93" s="292">
        <f t="shared" ref="F93:F97" si="6">D93/208/SQRT(3)/E93</f>
        <v>206.54640569142441</v>
      </c>
      <c r="G93" s="212" t="s">
        <v>206</v>
      </c>
      <c r="H93" s="220" t="s">
        <v>189</v>
      </c>
      <c r="I93" s="571" t="s">
        <v>375</v>
      </c>
      <c r="J93" s="572"/>
      <c r="K93" s="331" t="s">
        <v>189</v>
      </c>
      <c r="L93" s="181"/>
    </row>
    <row r="94" spans="1:12" ht="15.95" customHeight="1">
      <c r="A94" s="197">
        <v>13</v>
      </c>
      <c r="B94" s="184" t="s">
        <v>30</v>
      </c>
      <c r="C94" s="221" t="s">
        <v>264</v>
      </c>
      <c r="D94" s="226">
        <f>'indiv. panels'!K13</f>
        <v>38250</v>
      </c>
      <c r="E94" s="236">
        <v>0.85</v>
      </c>
      <c r="F94" s="292">
        <f t="shared" si="6"/>
        <v>124.90751016121712</v>
      </c>
      <c r="G94" s="212" t="s">
        <v>206</v>
      </c>
      <c r="H94" s="219" t="s">
        <v>188</v>
      </c>
      <c r="I94" s="571" t="s">
        <v>375</v>
      </c>
      <c r="J94" s="572"/>
      <c r="K94" s="249" t="s">
        <v>188</v>
      </c>
      <c r="L94" s="180"/>
    </row>
    <row r="95" spans="1:12" ht="15.95" customHeight="1">
      <c r="A95" s="197">
        <v>14</v>
      </c>
      <c r="B95" s="184" t="s">
        <v>29</v>
      </c>
      <c r="C95" s="221" t="s">
        <v>264</v>
      </c>
      <c r="D95" s="226">
        <f>'indiv. panels'!K12</f>
        <v>57031.25</v>
      </c>
      <c r="E95" s="236">
        <v>0.85</v>
      </c>
      <c r="F95" s="292">
        <f t="shared" si="6"/>
        <v>186.23873042828535</v>
      </c>
      <c r="G95" s="212" t="s">
        <v>206</v>
      </c>
      <c r="H95" s="220" t="s">
        <v>189</v>
      </c>
      <c r="I95" s="571" t="s">
        <v>375</v>
      </c>
      <c r="J95" s="572"/>
      <c r="K95" s="331" t="s">
        <v>189</v>
      </c>
    </row>
    <row r="96" spans="1:12" ht="15.95" customHeight="1">
      <c r="A96" s="197">
        <v>15</v>
      </c>
      <c r="B96" s="184" t="s">
        <v>28</v>
      </c>
      <c r="C96" s="221" t="s">
        <v>264</v>
      </c>
      <c r="D96" s="226">
        <f>'indiv. panels'!K11</f>
        <v>31375</v>
      </c>
      <c r="E96" s="236">
        <v>0.85</v>
      </c>
      <c r="F96" s="292">
        <f t="shared" si="6"/>
        <v>102.45681389041012</v>
      </c>
      <c r="G96" s="212" t="s">
        <v>206</v>
      </c>
      <c r="H96" s="219" t="s">
        <v>188</v>
      </c>
      <c r="I96" s="571" t="s">
        <v>375</v>
      </c>
      <c r="J96" s="572"/>
      <c r="K96" s="249" t="s">
        <v>188</v>
      </c>
    </row>
    <row r="97" spans="1:12" ht="15.95" customHeight="1" thickBot="1">
      <c r="A97" s="332">
        <v>16</v>
      </c>
      <c r="B97" s="266" t="s">
        <v>27</v>
      </c>
      <c r="C97" s="333" t="s">
        <v>264</v>
      </c>
      <c r="D97" s="334">
        <f>'indiv. panels'!K10</f>
        <v>23068.75</v>
      </c>
      <c r="E97" s="335">
        <v>0.85</v>
      </c>
      <c r="F97" s="336">
        <f t="shared" si="6"/>
        <v>75.332290850498751</v>
      </c>
      <c r="G97" s="214" t="s">
        <v>227</v>
      </c>
      <c r="H97" s="253" t="s">
        <v>188</v>
      </c>
      <c r="I97" s="530" t="s">
        <v>379</v>
      </c>
      <c r="J97" s="531"/>
      <c r="K97" s="262" t="s">
        <v>188</v>
      </c>
    </row>
    <row r="98" spans="1:12" ht="15.95" customHeight="1" thickBot="1">
      <c r="D98" s="526"/>
      <c r="E98" s="526"/>
      <c r="F98" s="526"/>
      <c r="G98" s="544" t="s">
        <v>194</v>
      </c>
      <c r="H98" s="545"/>
      <c r="I98" s="546"/>
      <c r="J98" s="403"/>
      <c r="K98" s="329" t="s">
        <v>188</v>
      </c>
      <c r="L98" s="22"/>
    </row>
    <row r="99" spans="1:12" ht="15.95" customHeight="1" thickTop="1">
      <c r="D99" s="525"/>
      <c r="E99" s="525"/>
      <c r="F99" s="525"/>
      <c r="G99" s="541" t="s">
        <v>195</v>
      </c>
      <c r="H99" s="542"/>
      <c r="I99" s="543"/>
      <c r="J99" s="529">
        <f>SUM(F82:F97)</f>
        <v>1048.7120514905832</v>
      </c>
      <c r="K99" s="527"/>
      <c r="L99" s="22"/>
    </row>
    <row r="100" spans="1:12" ht="15.95" customHeight="1" thickBot="1">
      <c r="D100" s="337"/>
      <c r="E100" s="337"/>
      <c r="F100" s="337"/>
      <c r="G100" s="535" t="s">
        <v>199</v>
      </c>
      <c r="H100" s="536"/>
      <c r="I100" s="537"/>
      <c r="J100" s="405" t="s">
        <v>200</v>
      </c>
      <c r="K100" s="528"/>
      <c r="L100" s="22"/>
    </row>
    <row r="101" spans="1:12" ht="15.95" customHeight="1" thickBot="1">
      <c r="A101" s="623" t="s">
        <v>166</v>
      </c>
      <c r="B101" s="624"/>
    </row>
    <row r="102" spans="1:12" ht="15.95" customHeight="1">
      <c r="A102" s="549" t="s">
        <v>202</v>
      </c>
      <c r="B102" s="551" t="s">
        <v>165</v>
      </c>
      <c r="C102" s="551"/>
      <c r="D102" s="552" t="s">
        <v>191</v>
      </c>
      <c r="E102" s="553"/>
      <c r="F102" s="554"/>
      <c r="G102" s="618" t="s">
        <v>192</v>
      </c>
      <c r="H102" s="619"/>
      <c r="I102" s="577" t="s">
        <v>186</v>
      </c>
      <c r="J102" s="553"/>
      <c r="K102" s="578"/>
    </row>
    <row r="103" spans="1:12" ht="15.95" customHeight="1" thickBot="1">
      <c r="A103" s="550"/>
      <c r="B103" s="193" t="s">
        <v>91</v>
      </c>
      <c r="C103" s="194" t="s">
        <v>164</v>
      </c>
      <c r="D103" s="193" t="s">
        <v>403</v>
      </c>
      <c r="E103" s="231" t="s">
        <v>265</v>
      </c>
      <c r="F103" s="195" t="s">
        <v>257</v>
      </c>
      <c r="G103" s="254" t="s">
        <v>187</v>
      </c>
      <c r="H103" s="218" t="s">
        <v>188</v>
      </c>
      <c r="I103" s="591" t="s">
        <v>187</v>
      </c>
      <c r="J103" s="592"/>
      <c r="K103" s="328" t="s">
        <v>188</v>
      </c>
    </row>
    <row r="104" spans="1:12" ht="15.95" customHeight="1" thickTop="1">
      <c r="A104" s="196">
        <v>1</v>
      </c>
      <c r="B104" s="186" t="s">
        <v>33</v>
      </c>
      <c r="C104" s="187" t="s">
        <v>264</v>
      </c>
      <c r="D104" s="396">
        <f>'indiv. panels'!K15</f>
        <v>43968.75</v>
      </c>
      <c r="E104" s="234">
        <v>0.85</v>
      </c>
      <c r="F104" s="296">
        <f>D104/208/SQRT(3)/E104</f>
        <v>143.58240751375206</v>
      </c>
      <c r="G104" s="255" t="s">
        <v>206</v>
      </c>
      <c r="H104" s="264" t="s">
        <v>188</v>
      </c>
      <c r="I104" s="593" t="s">
        <v>375</v>
      </c>
      <c r="J104" s="594"/>
      <c r="K104" s="257" t="s">
        <v>188</v>
      </c>
    </row>
    <row r="105" spans="1:12" ht="15.95" customHeight="1">
      <c r="A105" s="197">
        <v>2</v>
      </c>
      <c r="B105" s="184" t="s">
        <v>34</v>
      </c>
      <c r="C105" s="185" t="s">
        <v>264</v>
      </c>
      <c r="D105" s="396">
        <f>'indiv. panels'!K16</f>
        <v>39125</v>
      </c>
      <c r="E105" s="213">
        <v>0.85</v>
      </c>
      <c r="F105" s="296">
        <f t="shared" ref="F105:F107" si="7">D105/208/SQRT(3)/E105</f>
        <v>127.76487150477438</v>
      </c>
      <c r="G105" s="255" t="s">
        <v>206</v>
      </c>
      <c r="H105" s="219" t="s">
        <v>188</v>
      </c>
      <c r="I105" s="571" t="s">
        <v>375</v>
      </c>
      <c r="J105" s="572"/>
      <c r="K105" s="249" t="s">
        <v>188</v>
      </c>
    </row>
    <row r="106" spans="1:12" ht="15.95" customHeight="1">
      <c r="A106" s="197">
        <v>3</v>
      </c>
      <c r="B106" s="184" t="s">
        <v>14</v>
      </c>
      <c r="C106" s="185" t="s">
        <v>264</v>
      </c>
      <c r="D106" s="226">
        <f>'indiv. panels'!K9</f>
        <v>51438.75</v>
      </c>
      <c r="E106" s="213">
        <v>0.85</v>
      </c>
      <c r="F106" s="291">
        <f t="shared" si="7"/>
        <v>167.97610949817795</v>
      </c>
      <c r="G106" s="255" t="s">
        <v>206</v>
      </c>
      <c r="H106" s="265" t="s">
        <v>189</v>
      </c>
      <c r="I106" s="571" t="s">
        <v>375</v>
      </c>
      <c r="J106" s="572"/>
      <c r="K106" s="258" t="s">
        <v>189</v>
      </c>
    </row>
    <row r="107" spans="1:12" ht="15.95" customHeight="1">
      <c r="A107" s="197">
        <v>4</v>
      </c>
      <c r="B107" s="184" t="s">
        <v>35</v>
      </c>
      <c r="C107" s="185" t="s">
        <v>264</v>
      </c>
      <c r="D107" s="226">
        <f>'indiv. panels'!K45</f>
        <v>27250</v>
      </c>
      <c r="E107" s="213">
        <v>0.85</v>
      </c>
      <c r="F107" s="296">
        <f t="shared" si="7"/>
        <v>88.986396127925929</v>
      </c>
      <c r="G107" s="255" t="s">
        <v>206</v>
      </c>
      <c r="H107" s="219" t="s">
        <v>188</v>
      </c>
      <c r="I107" s="573" t="s">
        <v>380</v>
      </c>
      <c r="J107" s="574"/>
      <c r="K107" s="249" t="s">
        <v>188</v>
      </c>
    </row>
    <row r="108" spans="1:12" ht="15.95" customHeight="1">
      <c r="A108" s="197">
        <v>5</v>
      </c>
      <c r="B108" s="184" t="s">
        <v>84</v>
      </c>
      <c r="C108" s="185" t="s">
        <v>266</v>
      </c>
      <c r="D108" s="217">
        <f>'indiv. panels'!I63</f>
        <v>3780</v>
      </c>
      <c r="E108" s="213">
        <v>0.95</v>
      </c>
      <c r="F108" s="296">
        <f>D108/120/E108</f>
        <v>33.15789473684211</v>
      </c>
      <c r="G108" s="212" t="s">
        <v>226</v>
      </c>
      <c r="H108" s="219" t="s">
        <v>188</v>
      </c>
      <c r="I108" s="573" t="s">
        <v>378</v>
      </c>
      <c r="J108" s="574"/>
      <c r="K108" s="249" t="s">
        <v>188</v>
      </c>
    </row>
    <row r="109" spans="1:12" ht="15.95" customHeight="1">
      <c r="A109" s="197">
        <v>6</v>
      </c>
      <c r="B109" s="184" t="s">
        <v>85</v>
      </c>
      <c r="C109" s="185" t="s">
        <v>266</v>
      </c>
      <c r="D109" s="217">
        <f>'indiv. panels'!I64</f>
        <v>3780</v>
      </c>
      <c r="E109" s="213">
        <v>0.95</v>
      </c>
      <c r="F109" s="296">
        <f t="shared" ref="F109:F111" si="8">D109/120/E109</f>
        <v>33.15789473684211</v>
      </c>
      <c r="G109" s="212" t="s">
        <v>226</v>
      </c>
      <c r="H109" s="219" t="s">
        <v>188</v>
      </c>
      <c r="I109" s="573" t="s">
        <v>378</v>
      </c>
      <c r="J109" s="574"/>
      <c r="K109" s="249" t="s">
        <v>188</v>
      </c>
    </row>
    <row r="110" spans="1:12" ht="15.95" customHeight="1">
      <c r="A110" s="197">
        <v>7</v>
      </c>
      <c r="B110" s="184" t="s">
        <v>12</v>
      </c>
      <c r="C110" s="185" t="s">
        <v>266</v>
      </c>
      <c r="D110" s="217">
        <f>'indiv. panels'!I58</f>
        <v>2280</v>
      </c>
      <c r="E110" s="213">
        <v>0.95</v>
      </c>
      <c r="F110" s="296">
        <f t="shared" si="8"/>
        <v>20</v>
      </c>
      <c r="G110" s="212" t="s">
        <v>226</v>
      </c>
      <c r="H110" s="219" t="s">
        <v>188</v>
      </c>
      <c r="I110" s="573" t="s">
        <v>378</v>
      </c>
      <c r="J110" s="574"/>
      <c r="K110" s="249" t="s">
        <v>188</v>
      </c>
    </row>
    <row r="111" spans="1:12" ht="15.95" customHeight="1">
      <c r="A111" s="197">
        <v>8</v>
      </c>
      <c r="B111" s="184" t="s">
        <v>13</v>
      </c>
      <c r="C111" s="185" t="s">
        <v>266</v>
      </c>
      <c r="D111" s="217">
        <f>'indiv. panels'!I59</f>
        <v>5580</v>
      </c>
      <c r="E111" s="213">
        <v>0.95</v>
      </c>
      <c r="F111" s="296">
        <f t="shared" si="8"/>
        <v>48.947368421052637</v>
      </c>
      <c r="G111" s="212" t="s">
        <v>227</v>
      </c>
      <c r="H111" s="219" t="s">
        <v>188</v>
      </c>
      <c r="I111" s="573" t="s">
        <v>378</v>
      </c>
      <c r="J111" s="574"/>
      <c r="K111" s="249" t="s">
        <v>188</v>
      </c>
    </row>
    <row r="112" spans="1:12" ht="15.95" customHeight="1">
      <c r="A112" s="197">
        <v>9</v>
      </c>
      <c r="B112" s="184"/>
      <c r="C112" s="189" t="s">
        <v>184</v>
      </c>
      <c r="D112" s="226"/>
      <c r="E112" s="213"/>
      <c r="F112" s="292"/>
      <c r="G112" s="212" t="s">
        <v>223</v>
      </c>
      <c r="H112" s="219"/>
      <c r="I112" s="301"/>
      <c r="J112" s="302"/>
      <c r="K112" s="249" t="s">
        <v>188</v>
      </c>
    </row>
    <row r="113" spans="1:18" ht="15.95" customHeight="1">
      <c r="A113" s="199">
        <v>10</v>
      </c>
      <c r="B113" s="200"/>
      <c r="C113" s="201" t="s">
        <v>182</v>
      </c>
      <c r="D113" s="225"/>
      <c r="E113" s="233"/>
      <c r="F113" s="293"/>
      <c r="G113" s="245" t="s">
        <v>227</v>
      </c>
      <c r="H113" s="223"/>
      <c r="I113" s="600"/>
      <c r="J113" s="601"/>
      <c r="K113" s="247"/>
    </row>
    <row r="114" spans="1:18" ht="15.95" customHeight="1">
      <c r="A114" s="199">
        <v>11</v>
      </c>
      <c r="B114" s="200"/>
      <c r="C114" s="201" t="s">
        <v>183</v>
      </c>
      <c r="D114" s="225"/>
      <c r="E114" s="233"/>
      <c r="F114" s="293"/>
      <c r="G114" s="245" t="s">
        <v>262</v>
      </c>
      <c r="H114" s="201"/>
      <c r="I114" s="596"/>
      <c r="J114" s="597"/>
      <c r="K114" s="338"/>
    </row>
    <row r="115" spans="1:18" ht="15.95" customHeight="1" thickBot="1">
      <c r="A115" s="343">
        <v>12</v>
      </c>
      <c r="B115" s="261"/>
      <c r="C115" s="260" t="s">
        <v>183</v>
      </c>
      <c r="D115" s="395"/>
      <c r="E115" s="267"/>
      <c r="F115" s="297"/>
      <c r="G115" s="268" t="s">
        <v>262</v>
      </c>
      <c r="H115" s="260"/>
      <c r="I115" s="598"/>
      <c r="J115" s="599"/>
      <c r="K115" s="344"/>
    </row>
    <row r="116" spans="1:18" ht="15.95" customHeight="1" thickBot="1">
      <c r="D116" s="526"/>
      <c r="E116" s="526"/>
      <c r="F116" s="526"/>
      <c r="G116" s="538" t="s">
        <v>194</v>
      </c>
      <c r="H116" s="539"/>
      <c r="I116" s="540"/>
      <c r="J116" s="406"/>
      <c r="K116" s="532" t="s">
        <v>188</v>
      </c>
    </row>
    <row r="117" spans="1:18" ht="15.95" customHeight="1" thickTop="1">
      <c r="D117" s="525"/>
      <c r="E117" s="525"/>
      <c r="F117" s="525"/>
      <c r="G117" s="541" t="s">
        <v>195</v>
      </c>
      <c r="H117" s="542"/>
      <c r="I117" s="543"/>
      <c r="J117" s="529">
        <f>SUM(F104:F115)</f>
        <v>663.57294253936709</v>
      </c>
      <c r="K117" s="527"/>
    </row>
    <row r="118" spans="1:18" ht="15.95" customHeight="1" thickBot="1">
      <c r="D118" s="337"/>
      <c r="E118" s="337"/>
      <c r="F118" s="337"/>
      <c r="G118" s="535" t="s">
        <v>199</v>
      </c>
      <c r="H118" s="536"/>
      <c r="I118" s="537"/>
      <c r="J118" s="405" t="s">
        <v>200</v>
      </c>
      <c r="K118" s="528"/>
    </row>
    <row r="119" spans="1:18" ht="15.95" customHeight="1" thickBot="1">
      <c r="A119" s="623" t="s">
        <v>167</v>
      </c>
      <c r="B119" s="624"/>
    </row>
    <row r="120" spans="1:18" ht="15.95" customHeight="1">
      <c r="A120" s="549" t="s">
        <v>202</v>
      </c>
      <c r="B120" s="551" t="s">
        <v>165</v>
      </c>
      <c r="C120" s="551"/>
      <c r="D120" s="552" t="s">
        <v>191</v>
      </c>
      <c r="E120" s="553"/>
      <c r="F120" s="554"/>
      <c r="G120" s="618" t="s">
        <v>192</v>
      </c>
      <c r="H120" s="619"/>
      <c r="I120" s="577" t="s">
        <v>186</v>
      </c>
      <c r="J120" s="553"/>
      <c r="K120" s="578"/>
    </row>
    <row r="121" spans="1:18" ht="15.95" customHeight="1" thickBot="1">
      <c r="A121" s="550"/>
      <c r="B121" s="193" t="s">
        <v>91</v>
      </c>
      <c r="C121" s="194" t="s">
        <v>164</v>
      </c>
      <c r="D121" s="193" t="s">
        <v>403</v>
      </c>
      <c r="E121" s="231" t="s">
        <v>265</v>
      </c>
      <c r="F121" s="195" t="s">
        <v>257</v>
      </c>
      <c r="G121" s="254" t="s">
        <v>187</v>
      </c>
      <c r="H121" s="218" t="s">
        <v>188</v>
      </c>
      <c r="I121" s="591" t="s">
        <v>187</v>
      </c>
      <c r="J121" s="592"/>
      <c r="K121" s="328" t="s">
        <v>188</v>
      </c>
    </row>
    <row r="122" spans="1:18" ht="15.95" customHeight="1" thickTop="1">
      <c r="A122" s="202">
        <v>1</v>
      </c>
      <c r="B122" s="203"/>
      <c r="C122" s="204" t="s">
        <v>183</v>
      </c>
      <c r="D122" s="224"/>
      <c r="E122" s="232"/>
      <c r="F122" s="298"/>
      <c r="G122" s="244" t="s">
        <v>262</v>
      </c>
      <c r="H122" s="222"/>
      <c r="I122" s="626"/>
      <c r="J122" s="627"/>
      <c r="K122" s="246"/>
    </row>
    <row r="123" spans="1:18" ht="15.95" customHeight="1">
      <c r="A123" s="199">
        <v>2</v>
      </c>
      <c r="B123" s="200"/>
      <c r="C123" s="201" t="s">
        <v>183</v>
      </c>
      <c r="D123" s="225"/>
      <c r="E123" s="233"/>
      <c r="F123" s="293"/>
      <c r="G123" s="245" t="s">
        <v>262</v>
      </c>
      <c r="H123" s="223"/>
      <c r="I123" s="581"/>
      <c r="J123" s="582"/>
      <c r="K123" s="247"/>
    </row>
    <row r="124" spans="1:18" ht="15.95" customHeight="1">
      <c r="A124" s="199">
        <v>3</v>
      </c>
      <c r="B124" s="200"/>
      <c r="C124" s="201" t="s">
        <v>182</v>
      </c>
      <c r="D124" s="225"/>
      <c r="E124" s="233"/>
      <c r="F124" s="293"/>
      <c r="G124" s="245" t="s">
        <v>227</v>
      </c>
      <c r="H124" s="252"/>
      <c r="I124" s="628"/>
      <c r="J124" s="629"/>
      <c r="K124" s="248"/>
      <c r="M124" s="22"/>
      <c r="N124" s="22"/>
      <c r="O124" s="22"/>
      <c r="P124" s="22"/>
      <c r="Q124" s="22"/>
      <c r="R124" s="22"/>
    </row>
    <row r="125" spans="1:18" ht="15.95" customHeight="1">
      <c r="A125" s="199">
        <v>4</v>
      </c>
      <c r="B125" s="200"/>
      <c r="C125" s="201" t="s">
        <v>182</v>
      </c>
      <c r="D125" s="225"/>
      <c r="E125" s="233"/>
      <c r="F125" s="293"/>
      <c r="G125" s="245" t="s">
        <v>227</v>
      </c>
      <c r="H125" s="252"/>
      <c r="I125" s="628"/>
      <c r="J125" s="629"/>
      <c r="K125" s="248"/>
      <c r="M125" s="22"/>
      <c r="N125" s="22"/>
      <c r="O125" s="22"/>
      <c r="P125" s="22"/>
      <c r="Q125" s="22"/>
      <c r="R125" s="22"/>
    </row>
    <row r="126" spans="1:18" ht="15.95" customHeight="1">
      <c r="A126" s="197">
        <v>5</v>
      </c>
      <c r="B126" s="184" t="s">
        <v>40</v>
      </c>
      <c r="C126" s="221" t="s">
        <v>264</v>
      </c>
      <c r="D126" s="226">
        <f>'indiv. panels'!K46</f>
        <v>3750</v>
      </c>
      <c r="E126" s="213">
        <v>0.85</v>
      </c>
      <c r="F126" s="294">
        <f>D126/208/SQRT(3)/E126</f>
        <v>12.245834329531091</v>
      </c>
      <c r="G126" s="212" t="s">
        <v>227</v>
      </c>
      <c r="H126" s="219" t="s">
        <v>188</v>
      </c>
      <c r="I126" s="575" t="s">
        <v>379</v>
      </c>
      <c r="J126" s="576"/>
      <c r="K126" s="249" t="s">
        <v>188</v>
      </c>
      <c r="M126" s="22"/>
      <c r="N126" s="22"/>
      <c r="O126" s="22"/>
      <c r="P126" s="22"/>
      <c r="Q126" s="22"/>
      <c r="R126" s="22"/>
    </row>
    <row r="127" spans="1:18" ht="15.95" customHeight="1">
      <c r="A127" s="197">
        <v>6</v>
      </c>
      <c r="B127" s="184" t="s">
        <v>39</v>
      </c>
      <c r="C127" s="221" t="s">
        <v>264</v>
      </c>
      <c r="D127" s="226">
        <f>'indiv. panels'!K20</f>
        <v>29625</v>
      </c>
      <c r="E127" s="213">
        <v>0.85</v>
      </c>
      <c r="F127" s="294">
        <f t="shared" ref="F127:F130" si="9">D127/208/SQRT(3)/E127</f>
        <v>96.742091203295615</v>
      </c>
      <c r="G127" s="212" t="s">
        <v>206</v>
      </c>
      <c r="H127" s="219" t="s">
        <v>188</v>
      </c>
      <c r="I127" s="571" t="s">
        <v>375</v>
      </c>
      <c r="J127" s="572"/>
      <c r="K127" s="249" t="s">
        <v>188</v>
      </c>
    </row>
    <row r="128" spans="1:18" ht="15.95" customHeight="1">
      <c r="A128" s="197">
        <v>7</v>
      </c>
      <c r="B128" s="184" t="s">
        <v>38</v>
      </c>
      <c r="C128" s="221" t="s">
        <v>264</v>
      </c>
      <c r="D128" s="226">
        <f>'indiv. panels'!K19</f>
        <v>18750</v>
      </c>
      <c r="E128" s="213">
        <v>0.85</v>
      </c>
      <c r="F128" s="294">
        <f t="shared" si="9"/>
        <v>61.229171647655448</v>
      </c>
      <c r="G128" s="212" t="s">
        <v>227</v>
      </c>
      <c r="H128" s="219" t="s">
        <v>188</v>
      </c>
      <c r="I128" s="575" t="s">
        <v>379</v>
      </c>
      <c r="J128" s="576"/>
      <c r="K128" s="249" t="s">
        <v>188</v>
      </c>
    </row>
    <row r="129" spans="1:11" ht="15.95" customHeight="1">
      <c r="A129" s="197">
        <v>8</v>
      </c>
      <c r="B129" s="184" t="s">
        <v>37</v>
      </c>
      <c r="C129" s="221" t="s">
        <v>264</v>
      </c>
      <c r="D129" s="226">
        <f>'indiv. panels'!K18</f>
        <v>31062.5</v>
      </c>
      <c r="E129" s="213">
        <v>0.85</v>
      </c>
      <c r="F129" s="292">
        <f t="shared" si="9"/>
        <v>101.43632769628255</v>
      </c>
      <c r="G129" s="212" t="s">
        <v>206</v>
      </c>
      <c r="H129" s="219" t="s">
        <v>188</v>
      </c>
      <c r="I129" s="571" t="s">
        <v>375</v>
      </c>
      <c r="J129" s="572"/>
      <c r="K129" s="249" t="s">
        <v>188</v>
      </c>
    </row>
    <row r="130" spans="1:11" ht="15" customHeight="1" thickBot="1">
      <c r="A130" s="332">
        <v>9</v>
      </c>
      <c r="B130" s="266" t="s">
        <v>36</v>
      </c>
      <c r="C130" s="333" t="s">
        <v>264</v>
      </c>
      <c r="D130" s="334">
        <f>'indiv. panels'!K17</f>
        <v>25093.75</v>
      </c>
      <c r="E130" s="215">
        <v>0.85</v>
      </c>
      <c r="F130" s="336">
        <f t="shared" si="9"/>
        <v>81.945041388445546</v>
      </c>
      <c r="G130" s="214" t="s">
        <v>206</v>
      </c>
      <c r="H130" s="253" t="s">
        <v>188</v>
      </c>
      <c r="I130" s="630" t="s">
        <v>375</v>
      </c>
      <c r="J130" s="631"/>
      <c r="K130" s="262" t="s">
        <v>188</v>
      </c>
    </row>
    <row r="131" spans="1:11" ht="15" customHeight="1" thickBot="1">
      <c r="D131" s="526"/>
      <c r="E131" s="526"/>
      <c r="F131" s="526"/>
      <c r="G131" s="538" t="s">
        <v>194</v>
      </c>
      <c r="H131" s="539"/>
      <c r="I131" s="540"/>
      <c r="J131" s="406"/>
      <c r="K131" s="532" t="s">
        <v>188</v>
      </c>
    </row>
    <row r="132" spans="1:11" ht="15.95" customHeight="1" thickTop="1">
      <c r="D132" s="525"/>
      <c r="E132" s="525"/>
      <c r="F132" s="525"/>
      <c r="G132" s="541" t="s">
        <v>195</v>
      </c>
      <c r="H132" s="542"/>
      <c r="I132" s="543"/>
      <c r="J132" s="529">
        <f>SUM(F122:F130)</f>
        <v>353.59846626521022</v>
      </c>
      <c r="K132" s="527"/>
    </row>
    <row r="133" spans="1:11" ht="15.95" customHeight="1" thickBot="1">
      <c r="D133" s="337"/>
      <c r="E133" s="337"/>
      <c r="F133" s="337"/>
      <c r="G133" s="535" t="s">
        <v>199</v>
      </c>
      <c r="H133" s="536"/>
      <c r="I133" s="537"/>
      <c r="J133" s="405" t="s">
        <v>200</v>
      </c>
      <c r="K133" s="528"/>
    </row>
    <row r="134" spans="1:11" ht="15.95" customHeight="1" thickBot="1">
      <c r="A134" s="623" t="s">
        <v>168</v>
      </c>
      <c r="B134" s="624"/>
    </row>
    <row r="135" spans="1:11" ht="15.95" customHeight="1">
      <c r="A135" s="549" t="s">
        <v>202</v>
      </c>
      <c r="B135" s="551" t="s">
        <v>165</v>
      </c>
      <c r="C135" s="551"/>
      <c r="D135" s="552" t="s">
        <v>191</v>
      </c>
      <c r="E135" s="553"/>
      <c r="F135" s="554"/>
      <c r="G135" s="618" t="s">
        <v>192</v>
      </c>
      <c r="H135" s="619"/>
      <c r="I135" s="577" t="s">
        <v>186</v>
      </c>
      <c r="J135" s="553"/>
      <c r="K135" s="578"/>
    </row>
    <row r="136" spans="1:11" ht="15.95" customHeight="1" thickBot="1">
      <c r="A136" s="550"/>
      <c r="B136" s="193" t="s">
        <v>91</v>
      </c>
      <c r="C136" s="194" t="s">
        <v>164</v>
      </c>
      <c r="D136" s="193" t="s">
        <v>403</v>
      </c>
      <c r="E136" s="231" t="s">
        <v>265</v>
      </c>
      <c r="F136" s="195" t="s">
        <v>257</v>
      </c>
      <c r="G136" s="254" t="s">
        <v>187</v>
      </c>
      <c r="H136" s="218" t="s">
        <v>188</v>
      </c>
      <c r="I136" s="591" t="s">
        <v>187</v>
      </c>
      <c r="J136" s="592"/>
      <c r="K136" s="328" t="s">
        <v>188</v>
      </c>
    </row>
    <row r="137" spans="1:11" ht="15.95" customHeight="1" thickTop="1">
      <c r="A137" s="196">
        <v>1</v>
      </c>
      <c r="B137" s="186" t="s">
        <v>41</v>
      </c>
      <c r="C137" s="187" t="s">
        <v>267</v>
      </c>
      <c r="D137" s="396">
        <f>'indiv. panels'!K21</f>
        <v>19500</v>
      </c>
      <c r="E137" s="234">
        <v>0.85</v>
      </c>
      <c r="F137" s="296">
        <f>D137/208/SQRT(3)/E137</f>
        <v>63.67833851356167</v>
      </c>
      <c r="G137" s="255" t="s">
        <v>227</v>
      </c>
      <c r="H137" s="264" t="s">
        <v>188</v>
      </c>
      <c r="I137" s="575" t="s">
        <v>379</v>
      </c>
      <c r="J137" s="576"/>
      <c r="K137" s="257" t="s">
        <v>188</v>
      </c>
    </row>
    <row r="138" spans="1:11" ht="15.95" customHeight="1">
      <c r="A138" s="197">
        <v>2</v>
      </c>
      <c r="B138" s="184" t="s">
        <v>42</v>
      </c>
      <c r="C138" s="185" t="s">
        <v>267</v>
      </c>
      <c r="D138" s="396">
        <f>'indiv. panels'!K22</f>
        <v>22875</v>
      </c>
      <c r="E138" s="213">
        <v>0.85</v>
      </c>
      <c r="F138" s="296">
        <f t="shared" ref="F138:F140" si="10">D138/208/SQRT(3)/E138</f>
        <v>74.699589410139652</v>
      </c>
      <c r="G138" s="255" t="s">
        <v>227</v>
      </c>
      <c r="H138" s="219" t="s">
        <v>188</v>
      </c>
      <c r="I138" s="575" t="s">
        <v>379</v>
      </c>
      <c r="J138" s="576"/>
      <c r="K138" s="249" t="s">
        <v>188</v>
      </c>
    </row>
    <row r="139" spans="1:11" ht="15.95" customHeight="1">
      <c r="A139" s="197">
        <v>3</v>
      </c>
      <c r="B139" s="184" t="s">
        <v>43</v>
      </c>
      <c r="C139" s="185" t="s">
        <v>267</v>
      </c>
      <c r="D139" s="396">
        <f>'indiv. panels'!K23</f>
        <v>28250</v>
      </c>
      <c r="E139" s="213">
        <v>0.85</v>
      </c>
      <c r="F139" s="296">
        <f t="shared" si="10"/>
        <v>92.251951949134209</v>
      </c>
      <c r="G139" s="255" t="s">
        <v>227</v>
      </c>
      <c r="H139" s="219" t="s">
        <v>188</v>
      </c>
      <c r="I139" s="575" t="s">
        <v>379</v>
      </c>
      <c r="J139" s="576"/>
      <c r="K139" s="249" t="s">
        <v>188</v>
      </c>
    </row>
    <row r="140" spans="1:11" ht="15.95" customHeight="1">
      <c r="A140" s="197">
        <v>4</v>
      </c>
      <c r="B140" s="184" t="s">
        <v>44</v>
      </c>
      <c r="C140" s="185" t="s">
        <v>267</v>
      </c>
      <c r="D140" s="226">
        <f>'indiv. panels'!K47</f>
        <v>4875</v>
      </c>
      <c r="E140" s="213">
        <v>0.85</v>
      </c>
      <c r="F140" s="296">
        <f t="shared" si="10"/>
        <v>15.919584628390417</v>
      </c>
      <c r="G140" s="255" t="s">
        <v>227</v>
      </c>
      <c r="H140" s="219" t="s">
        <v>188</v>
      </c>
      <c r="I140" s="575" t="s">
        <v>379</v>
      </c>
      <c r="J140" s="576"/>
      <c r="K140" s="249" t="s">
        <v>188</v>
      </c>
    </row>
    <row r="141" spans="1:11" ht="15.95" customHeight="1">
      <c r="A141" s="199">
        <v>5</v>
      </c>
      <c r="B141" s="200"/>
      <c r="C141" s="201" t="s">
        <v>182</v>
      </c>
      <c r="D141" s="225"/>
      <c r="E141" s="233"/>
      <c r="F141" s="293"/>
      <c r="G141" s="244" t="s">
        <v>227</v>
      </c>
      <c r="H141" s="201"/>
      <c r="I141" s="596"/>
      <c r="J141" s="597"/>
      <c r="K141" s="338"/>
    </row>
    <row r="142" spans="1:11" ht="15.95" customHeight="1">
      <c r="A142" s="199">
        <v>6</v>
      </c>
      <c r="B142" s="200"/>
      <c r="C142" s="201" t="s">
        <v>182</v>
      </c>
      <c r="D142" s="225"/>
      <c r="E142" s="233"/>
      <c r="F142" s="293"/>
      <c r="G142" s="244" t="s">
        <v>227</v>
      </c>
      <c r="H142" s="201"/>
      <c r="I142" s="596"/>
      <c r="J142" s="597"/>
      <c r="K142" s="338"/>
    </row>
    <row r="143" spans="1:11" ht="15.95" customHeight="1">
      <c r="A143" s="199">
        <v>7</v>
      </c>
      <c r="B143" s="200"/>
      <c r="C143" s="201" t="s">
        <v>183</v>
      </c>
      <c r="D143" s="225"/>
      <c r="E143" s="233"/>
      <c r="F143" s="293"/>
      <c r="G143" s="245" t="s">
        <v>262</v>
      </c>
      <c r="H143" s="201"/>
      <c r="I143" s="596"/>
      <c r="J143" s="597"/>
      <c r="K143" s="338"/>
    </row>
    <row r="144" spans="1:11" ht="15.95" customHeight="1" thickBot="1">
      <c r="A144" s="343">
        <v>8</v>
      </c>
      <c r="B144" s="261"/>
      <c r="C144" s="260" t="s">
        <v>183</v>
      </c>
      <c r="D144" s="395"/>
      <c r="E144" s="267"/>
      <c r="F144" s="297"/>
      <c r="G144" s="268" t="s">
        <v>262</v>
      </c>
      <c r="H144" s="260"/>
      <c r="I144" s="598"/>
      <c r="J144" s="599"/>
      <c r="K144" s="344"/>
    </row>
    <row r="145" spans="1:12" ht="15.95" customHeight="1" thickBot="1">
      <c r="D145" s="526"/>
      <c r="E145" s="526"/>
      <c r="F145" s="526"/>
      <c r="G145" s="538" t="s">
        <v>194</v>
      </c>
      <c r="H145" s="539"/>
      <c r="I145" s="540"/>
      <c r="J145" s="406"/>
      <c r="K145" s="532" t="s">
        <v>188</v>
      </c>
    </row>
    <row r="146" spans="1:12" ht="15.95" customHeight="1" thickTop="1">
      <c r="D146" s="525"/>
      <c r="E146" s="525"/>
      <c r="F146" s="525"/>
      <c r="G146" s="541" t="s">
        <v>195</v>
      </c>
      <c r="H146" s="542"/>
      <c r="I146" s="543"/>
      <c r="J146" s="529">
        <f>SUM(F137:F144)</f>
        <v>246.54946450122597</v>
      </c>
      <c r="K146" s="527"/>
    </row>
    <row r="147" spans="1:12" ht="15.95" customHeight="1" thickBot="1">
      <c r="D147" s="337"/>
      <c r="E147" s="337"/>
      <c r="F147" s="337"/>
      <c r="G147" s="535" t="s">
        <v>199</v>
      </c>
      <c r="H147" s="536"/>
      <c r="I147" s="537"/>
      <c r="J147" s="405" t="s">
        <v>200</v>
      </c>
      <c r="K147" s="528"/>
    </row>
    <row r="148" spans="1:12" ht="15.95" customHeight="1" thickBot="1">
      <c r="A148" s="623" t="s">
        <v>169</v>
      </c>
      <c r="B148" s="624"/>
    </row>
    <row r="149" spans="1:12" ht="15.95" customHeight="1">
      <c r="A149" s="549" t="s">
        <v>202</v>
      </c>
      <c r="B149" s="551" t="s">
        <v>165</v>
      </c>
      <c r="C149" s="551"/>
      <c r="D149" s="552" t="s">
        <v>191</v>
      </c>
      <c r="E149" s="553"/>
      <c r="F149" s="554"/>
      <c r="G149" s="618" t="s">
        <v>192</v>
      </c>
      <c r="H149" s="619"/>
      <c r="I149" s="577" t="s">
        <v>186</v>
      </c>
      <c r="J149" s="553"/>
      <c r="K149" s="578"/>
    </row>
    <row r="150" spans="1:12" ht="15.95" customHeight="1" thickBot="1">
      <c r="A150" s="550"/>
      <c r="B150" s="193" t="s">
        <v>91</v>
      </c>
      <c r="C150" s="194" t="s">
        <v>164</v>
      </c>
      <c r="D150" s="193" t="s">
        <v>403</v>
      </c>
      <c r="E150" s="231" t="s">
        <v>265</v>
      </c>
      <c r="F150" s="195" t="s">
        <v>257</v>
      </c>
      <c r="G150" s="254" t="s">
        <v>187</v>
      </c>
      <c r="H150" s="218" t="s">
        <v>188</v>
      </c>
      <c r="I150" s="591" t="s">
        <v>187</v>
      </c>
      <c r="J150" s="592"/>
      <c r="K150" s="328" t="s">
        <v>188</v>
      </c>
    </row>
    <row r="151" spans="1:12" ht="15.95" customHeight="1" thickTop="1">
      <c r="A151" s="202">
        <v>1</v>
      </c>
      <c r="B151" s="203"/>
      <c r="C151" s="204" t="s">
        <v>183</v>
      </c>
      <c r="D151" s="224"/>
      <c r="E151" s="232"/>
      <c r="F151" s="298"/>
      <c r="G151" s="244" t="s">
        <v>262</v>
      </c>
      <c r="H151" s="222"/>
      <c r="I151" s="626"/>
      <c r="J151" s="627"/>
      <c r="K151" s="246"/>
      <c r="L151" s="182"/>
    </row>
    <row r="152" spans="1:12" ht="15.95" customHeight="1">
      <c r="A152" s="199">
        <v>2</v>
      </c>
      <c r="B152" s="200"/>
      <c r="C152" s="201" t="s">
        <v>183</v>
      </c>
      <c r="D152" s="225"/>
      <c r="E152" s="233"/>
      <c r="F152" s="293"/>
      <c r="G152" s="245" t="s">
        <v>262</v>
      </c>
      <c r="H152" s="223"/>
      <c r="I152" s="581"/>
      <c r="J152" s="582"/>
      <c r="K152" s="247"/>
    </row>
    <row r="153" spans="1:12" ht="15.95" customHeight="1">
      <c r="A153" s="199">
        <v>3</v>
      </c>
      <c r="B153" s="200"/>
      <c r="C153" s="201" t="s">
        <v>182</v>
      </c>
      <c r="D153" s="225"/>
      <c r="E153" s="233"/>
      <c r="F153" s="293"/>
      <c r="G153" s="245" t="s">
        <v>227</v>
      </c>
      <c r="H153" s="252"/>
      <c r="I153" s="628"/>
      <c r="J153" s="629"/>
      <c r="K153" s="248"/>
    </row>
    <row r="154" spans="1:12" ht="15.95" customHeight="1">
      <c r="A154" s="199">
        <v>4</v>
      </c>
      <c r="B154" s="200"/>
      <c r="C154" s="201" t="s">
        <v>182</v>
      </c>
      <c r="D154" s="225"/>
      <c r="E154" s="233"/>
      <c r="F154" s="293"/>
      <c r="G154" s="245" t="s">
        <v>227</v>
      </c>
      <c r="H154" s="252"/>
      <c r="I154" s="628"/>
      <c r="J154" s="629"/>
      <c r="K154" s="248"/>
    </row>
    <row r="155" spans="1:12" ht="15.95" customHeight="1">
      <c r="A155" s="197">
        <v>5</v>
      </c>
      <c r="B155" s="184" t="s">
        <v>49</v>
      </c>
      <c r="C155" s="221" t="s">
        <v>264</v>
      </c>
      <c r="D155" s="226">
        <f>'indiv. panels'!K48</f>
        <v>12750</v>
      </c>
      <c r="E155" s="213">
        <v>0.85</v>
      </c>
      <c r="F155" s="294">
        <f>D155/E155/208/SQRT(3)</f>
        <v>41.635836720405706</v>
      </c>
      <c r="G155" s="255" t="s">
        <v>227</v>
      </c>
      <c r="H155" s="219" t="s">
        <v>188</v>
      </c>
      <c r="I155" s="575" t="s">
        <v>379</v>
      </c>
      <c r="J155" s="576"/>
      <c r="K155" s="249" t="s">
        <v>188</v>
      </c>
    </row>
    <row r="156" spans="1:12" ht="15.95" customHeight="1">
      <c r="A156" s="197">
        <v>6</v>
      </c>
      <c r="B156" s="184" t="s">
        <v>48</v>
      </c>
      <c r="C156" s="221" t="s">
        <v>264</v>
      </c>
      <c r="D156" s="226">
        <f>'indiv. panels'!K27</f>
        <v>20750</v>
      </c>
      <c r="E156" s="213">
        <v>0.85</v>
      </c>
      <c r="F156" s="294">
        <f t="shared" ref="F156:F159" si="11">D156/E156/208/SQRT(3)</f>
        <v>67.760283290072039</v>
      </c>
      <c r="G156" s="255" t="s">
        <v>227</v>
      </c>
      <c r="H156" s="219" t="s">
        <v>188</v>
      </c>
      <c r="I156" s="575" t="s">
        <v>379</v>
      </c>
      <c r="J156" s="576"/>
      <c r="K156" s="249" t="s">
        <v>188</v>
      </c>
    </row>
    <row r="157" spans="1:12" ht="15.95" customHeight="1">
      <c r="A157" s="197">
        <v>7</v>
      </c>
      <c r="B157" s="184" t="s">
        <v>47</v>
      </c>
      <c r="C157" s="221" t="s">
        <v>264</v>
      </c>
      <c r="D157" s="226">
        <f>'indiv. panels'!K26</f>
        <v>26375</v>
      </c>
      <c r="E157" s="213">
        <v>0.85</v>
      </c>
      <c r="F157" s="294">
        <f t="shared" si="11"/>
        <v>86.12903478436867</v>
      </c>
      <c r="G157" s="212" t="s">
        <v>206</v>
      </c>
      <c r="H157" s="219" t="s">
        <v>188</v>
      </c>
      <c r="I157" s="571" t="s">
        <v>375</v>
      </c>
      <c r="J157" s="572"/>
      <c r="K157" s="249" t="s">
        <v>188</v>
      </c>
    </row>
    <row r="158" spans="1:12" ht="15.95" customHeight="1">
      <c r="A158" s="197">
        <v>8</v>
      </c>
      <c r="B158" s="184" t="s">
        <v>46</v>
      </c>
      <c r="C158" s="221" t="s">
        <v>264</v>
      </c>
      <c r="D158" s="226">
        <f>'indiv. panels'!K25</f>
        <v>13875</v>
      </c>
      <c r="E158" s="213">
        <v>0.85</v>
      </c>
      <c r="F158" s="294">
        <f t="shared" si="11"/>
        <v>45.309587019265031</v>
      </c>
      <c r="G158" s="255" t="s">
        <v>227</v>
      </c>
      <c r="H158" s="219" t="s">
        <v>188</v>
      </c>
      <c r="I158" s="575" t="s">
        <v>379</v>
      </c>
      <c r="J158" s="576"/>
      <c r="K158" s="249" t="s">
        <v>188</v>
      </c>
    </row>
    <row r="159" spans="1:12" ht="15.95" customHeight="1" thickBot="1">
      <c r="A159" s="332">
        <v>9</v>
      </c>
      <c r="B159" s="266" t="s">
        <v>45</v>
      </c>
      <c r="C159" s="333" t="s">
        <v>264</v>
      </c>
      <c r="D159" s="334">
        <f>'indiv. panels'!K24</f>
        <v>23875</v>
      </c>
      <c r="E159" s="215">
        <v>0.85</v>
      </c>
      <c r="F159" s="336">
        <f t="shared" si="11"/>
        <v>77.965145231347947</v>
      </c>
      <c r="G159" s="404" t="s">
        <v>227</v>
      </c>
      <c r="H159" s="253" t="s">
        <v>188</v>
      </c>
      <c r="I159" s="632" t="s">
        <v>379</v>
      </c>
      <c r="J159" s="633"/>
      <c r="K159" s="262" t="s">
        <v>188</v>
      </c>
    </row>
    <row r="160" spans="1:12" ht="15.95" customHeight="1" thickBot="1">
      <c r="D160" s="526"/>
      <c r="E160" s="526"/>
      <c r="F160" s="526"/>
      <c r="G160" s="538" t="s">
        <v>194</v>
      </c>
      <c r="H160" s="539"/>
      <c r="I160" s="540"/>
      <c r="J160" s="406"/>
      <c r="K160" s="532" t="s">
        <v>188</v>
      </c>
    </row>
    <row r="161" spans="1:18" ht="15.95" customHeight="1" thickTop="1">
      <c r="D161" s="525"/>
      <c r="E161" s="525"/>
      <c r="F161" s="525"/>
      <c r="G161" s="541" t="s">
        <v>195</v>
      </c>
      <c r="H161" s="542"/>
      <c r="I161" s="543"/>
      <c r="J161" s="529">
        <f>SUM(F151:F159)</f>
        <v>318.7998870454594</v>
      </c>
      <c r="K161" s="527"/>
      <c r="N161" s="190"/>
      <c r="O161" s="20"/>
      <c r="R161" s="22"/>
    </row>
    <row r="162" spans="1:18" ht="15.95" customHeight="1" thickBot="1">
      <c r="D162" s="337"/>
      <c r="E162" s="337"/>
      <c r="F162" s="337"/>
      <c r="G162" s="535" t="s">
        <v>199</v>
      </c>
      <c r="H162" s="536"/>
      <c r="I162" s="537"/>
      <c r="J162" s="405" t="s">
        <v>200</v>
      </c>
      <c r="K162" s="528"/>
    </row>
    <row r="163" spans="1:18" ht="15.95" customHeight="1" thickBot="1">
      <c r="A163" s="623" t="s">
        <v>170</v>
      </c>
      <c r="B163" s="624"/>
    </row>
    <row r="164" spans="1:18" ht="15.95" customHeight="1">
      <c r="A164" s="549" t="s">
        <v>202</v>
      </c>
      <c r="B164" s="551" t="s">
        <v>165</v>
      </c>
      <c r="C164" s="551"/>
      <c r="D164" s="552" t="s">
        <v>191</v>
      </c>
      <c r="E164" s="553"/>
      <c r="F164" s="554"/>
      <c r="G164" s="618" t="s">
        <v>192</v>
      </c>
      <c r="H164" s="619"/>
      <c r="I164" s="577" t="s">
        <v>186</v>
      </c>
      <c r="J164" s="553"/>
      <c r="K164" s="578"/>
    </row>
    <row r="165" spans="1:18" ht="15.95" customHeight="1" thickBot="1">
      <c r="A165" s="550"/>
      <c r="B165" s="193" t="s">
        <v>91</v>
      </c>
      <c r="C165" s="194" t="s">
        <v>164</v>
      </c>
      <c r="D165" s="193" t="s">
        <v>403</v>
      </c>
      <c r="E165" s="231" t="s">
        <v>265</v>
      </c>
      <c r="F165" s="195" t="s">
        <v>257</v>
      </c>
      <c r="G165" s="254" t="s">
        <v>187</v>
      </c>
      <c r="H165" s="218" t="s">
        <v>188</v>
      </c>
      <c r="I165" s="591" t="s">
        <v>187</v>
      </c>
      <c r="J165" s="592"/>
      <c r="K165" s="328" t="s">
        <v>188</v>
      </c>
    </row>
    <row r="166" spans="1:18" ht="15.95" customHeight="1" thickTop="1">
      <c r="A166" s="196">
        <v>1</v>
      </c>
      <c r="B166" s="186" t="s">
        <v>50</v>
      </c>
      <c r="C166" s="221" t="s">
        <v>264</v>
      </c>
      <c r="D166" s="396">
        <f>'indiv. panels'!K28</f>
        <v>16625</v>
      </c>
      <c r="E166" s="234">
        <f>0.85</f>
        <v>0.85</v>
      </c>
      <c r="F166" s="296">
        <f>D166/E166/208/SQRT(3)</f>
        <v>54.289865527587835</v>
      </c>
      <c r="G166" s="255" t="s">
        <v>227</v>
      </c>
      <c r="H166" s="264" t="s">
        <v>188</v>
      </c>
      <c r="I166" s="575" t="s">
        <v>379</v>
      </c>
      <c r="J166" s="576"/>
      <c r="K166" s="257" t="s">
        <v>188</v>
      </c>
    </row>
    <row r="167" spans="1:18" ht="15.95" customHeight="1">
      <c r="A167" s="197">
        <v>2</v>
      </c>
      <c r="B167" s="184" t="s">
        <v>51</v>
      </c>
      <c r="C167" s="221" t="s">
        <v>264</v>
      </c>
      <c r="D167" s="226">
        <f>'indiv. panels'!K29</f>
        <v>22125</v>
      </c>
      <c r="E167" s="213">
        <v>0.85</v>
      </c>
      <c r="F167" s="296">
        <f t="shared" ref="F167:F169" si="12">D167/E167/208/SQRT(3)</f>
        <v>72.250422544233444</v>
      </c>
      <c r="G167" s="255" t="s">
        <v>227</v>
      </c>
      <c r="H167" s="219" t="s">
        <v>188</v>
      </c>
      <c r="I167" s="575" t="s">
        <v>379</v>
      </c>
      <c r="J167" s="576"/>
      <c r="K167" s="249" t="s">
        <v>188</v>
      </c>
    </row>
    <row r="168" spans="1:18" ht="15.95" customHeight="1">
      <c r="A168" s="197">
        <v>3</v>
      </c>
      <c r="B168" s="184" t="s">
        <v>52</v>
      </c>
      <c r="C168" s="221" t="s">
        <v>264</v>
      </c>
      <c r="D168" s="226">
        <f>'indiv. panels'!K30</f>
        <v>16000</v>
      </c>
      <c r="E168" s="213">
        <v>0.85</v>
      </c>
      <c r="F168" s="296">
        <f t="shared" si="12"/>
        <v>52.248893139332651</v>
      </c>
      <c r="G168" s="255" t="s">
        <v>227</v>
      </c>
      <c r="H168" s="219" t="s">
        <v>188</v>
      </c>
      <c r="I168" s="575" t="s">
        <v>379</v>
      </c>
      <c r="J168" s="576"/>
      <c r="K168" s="249" t="s">
        <v>188</v>
      </c>
    </row>
    <row r="169" spans="1:18" ht="15.95" customHeight="1">
      <c r="A169" s="197">
        <v>4</v>
      </c>
      <c r="B169" s="184" t="s">
        <v>53</v>
      </c>
      <c r="C169" s="221" t="s">
        <v>264</v>
      </c>
      <c r="D169" s="226">
        <f>'indiv. panels'!K49</f>
        <v>14125</v>
      </c>
      <c r="E169" s="213">
        <v>0.85</v>
      </c>
      <c r="F169" s="296">
        <f t="shared" si="12"/>
        <v>46.125975974567112</v>
      </c>
      <c r="G169" s="255" t="s">
        <v>227</v>
      </c>
      <c r="H169" s="219" t="s">
        <v>188</v>
      </c>
      <c r="I169" s="575" t="s">
        <v>379</v>
      </c>
      <c r="J169" s="576"/>
      <c r="K169" s="249" t="s">
        <v>188</v>
      </c>
    </row>
    <row r="170" spans="1:18" ht="15.95" customHeight="1">
      <c r="A170" s="199">
        <v>5</v>
      </c>
      <c r="B170" s="200"/>
      <c r="C170" s="201" t="s">
        <v>182</v>
      </c>
      <c r="D170" s="225"/>
      <c r="E170" s="233"/>
      <c r="F170" s="293"/>
      <c r="G170" s="245" t="s">
        <v>227</v>
      </c>
      <c r="H170" s="201"/>
      <c r="I170" s="596"/>
      <c r="J170" s="597"/>
      <c r="K170" s="338"/>
    </row>
    <row r="171" spans="1:18" ht="15.95" customHeight="1">
      <c r="A171" s="199">
        <v>6</v>
      </c>
      <c r="B171" s="200"/>
      <c r="C171" s="201" t="s">
        <v>182</v>
      </c>
      <c r="D171" s="225"/>
      <c r="E171" s="233"/>
      <c r="F171" s="293"/>
      <c r="G171" s="245" t="s">
        <v>227</v>
      </c>
      <c r="H171" s="201"/>
      <c r="I171" s="596"/>
      <c r="J171" s="597"/>
      <c r="K171" s="338"/>
    </row>
    <row r="172" spans="1:18" ht="15.95" customHeight="1">
      <c r="A172" s="199">
        <v>7</v>
      </c>
      <c r="B172" s="200"/>
      <c r="C172" s="201" t="s">
        <v>183</v>
      </c>
      <c r="D172" s="225"/>
      <c r="E172" s="233"/>
      <c r="F172" s="293"/>
      <c r="G172" s="244" t="s">
        <v>262</v>
      </c>
      <c r="H172" s="201"/>
      <c r="I172" s="596"/>
      <c r="J172" s="597"/>
      <c r="K172" s="338"/>
    </row>
    <row r="173" spans="1:18" ht="15.95" customHeight="1" thickBot="1">
      <c r="A173" s="343">
        <v>8</v>
      </c>
      <c r="B173" s="261"/>
      <c r="C173" s="260" t="s">
        <v>183</v>
      </c>
      <c r="D173" s="395"/>
      <c r="E173" s="267"/>
      <c r="F173" s="297"/>
      <c r="G173" s="268" t="s">
        <v>262</v>
      </c>
      <c r="H173" s="260"/>
      <c r="I173" s="598"/>
      <c r="J173" s="599"/>
      <c r="K173" s="344"/>
    </row>
    <row r="174" spans="1:18" ht="15.95" customHeight="1" thickBot="1">
      <c r="D174" s="526"/>
      <c r="E174" s="526"/>
      <c r="F174" s="526"/>
      <c r="G174" s="538" t="s">
        <v>194</v>
      </c>
      <c r="H174" s="539"/>
      <c r="I174" s="540"/>
      <c r="J174" s="406"/>
      <c r="K174" s="532" t="s">
        <v>188</v>
      </c>
    </row>
    <row r="175" spans="1:18" ht="15.95" customHeight="1" thickTop="1">
      <c r="D175" s="525"/>
      <c r="E175" s="525"/>
      <c r="F175" s="525"/>
      <c r="G175" s="541" t="s">
        <v>195</v>
      </c>
      <c r="H175" s="542"/>
      <c r="I175" s="543"/>
      <c r="J175" s="529">
        <f>SUM(F166:F173)</f>
        <v>224.91515718572106</v>
      </c>
      <c r="K175" s="527"/>
    </row>
    <row r="176" spans="1:18" ht="15.95" customHeight="1" thickBot="1">
      <c r="D176" s="337"/>
      <c r="E176" s="337"/>
      <c r="F176" s="337"/>
      <c r="G176" s="535" t="s">
        <v>199</v>
      </c>
      <c r="H176" s="536"/>
      <c r="I176" s="537"/>
      <c r="J176" s="405" t="s">
        <v>200</v>
      </c>
      <c r="K176" s="528"/>
    </row>
    <row r="177" spans="1:11" ht="15.95" customHeight="1" thickBot="1">
      <c r="A177" s="623" t="s">
        <v>171</v>
      </c>
      <c r="B177" s="624"/>
    </row>
    <row r="178" spans="1:11" ht="15.95" customHeight="1">
      <c r="A178" s="549" t="s">
        <v>202</v>
      </c>
      <c r="B178" s="551" t="s">
        <v>228</v>
      </c>
      <c r="C178" s="551"/>
      <c r="D178" s="552" t="s">
        <v>191</v>
      </c>
      <c r="E178" s="553"/>
      <c r="F178" s="554"/>
      <c r="G178" s="618" t="s">
        <v>192</v>
      </c>
      <c r="H178" s="619"/>
      <c r="I178" s="577" t="s">
        <v>186</v>
      </c>
      <c r="J178" s="553"/>
      <c r="K178" s="578"/>
    </row>
    <row r="179" spans="1:11" ht="15.95" customHeight="1" thickBot="1">
      <c r="A179" s="550"/>
      <c r="B179" s="193" t="s">
        <v>91</v>
      </c>
      <c r="C179" s="194" t="s">
        <v>164</v>
      </c>
      <c r="D179" s="193" t="s">
        <v>403</v>
      </c>
      <c r="E179" s="231" t="s">
        <v>265</v>
      </c>
      <c r="F179" s="195" t="s">
        <v>257</v>
      </c>
      <c r="G179" s="254" t="s">
        <v>187</v>
      </c>
      <c r="H179" s="218" t="s">
        <v>188</v>
      </c>
      <c r="I179" s="591" t="s">
        <v>187</v>
      </c>
      <c r="J179" s="592"/>
      <c r="K179" s="328" t="s">
        <v>188</v>
      </c>
    </row>
    <row r="180" spans="1:11" ht="15.95" customHeight="1" thickTop="1">
      <c r="A180" s="202">
        <v>1</v>
      </c>
      <c r="B180" s="203"/>
      <c r="C180" s="204" t="s">
        <v>183</v>
      </c>
      <c r="D180" s="224"/>
      <c r="E180" s="232"/>
      <c r="F180" s="298"/>
      <c r="G180" s="244" t="s">
        <v>262</v>
      </c>
      <c r="H180" s="222"/>
      <c r="I180" s="626"/>
      <c r="J180" s="627"/>
      <c r="K180" s="246"/>
    </row>
    <row r="181" spans="1:11" ht="15.95" customHeight="1">
      <c r="A181" s="199">
        <v>2</v>
      </c>
      <c r="B181" s="200"/>
      <c r="C181" s="201" t="s">
        <v>183</v>
      </c>
      <c r="D181" s="225"/>
      <c r="E181" s="233"/>
      <c r="F181" s="293"/>
      <c r="G181" s="245" t="s">
        <v>262</v>
      </c>
      <c r="H181" s="223"/>
      <c r="I181" s="581"/>
      <c r="J181" s="582"/>
      <c r="K181" s="247"/>
    </row>
    <row r="182" spans="1:11" ht="15.95" customHeight="1">
      <c r="A182" s="199">
        <v>3</v>
      </c>
      <c r="B182" s="200"/>
      <c r="C182" s="201" t="s">
        <v>182</v>
      </c>
      <c r="D182" s="225"/>
      <c r="E182" s="233"/>
      <c r="F182" s="293"/>
      <c r="G182" s="245" t="s">
        <v>227</v>
      </c>
      <c r="H182" s="252"/>
      <c r="I182" s="628"/>
      <c r="J182" s="629"/>
      <c r="K182" s="248"/>
    </row>
    <row r="183" spans="1:11" ht="15.95" customHeight="1">
      <c r="A183" s="197">
        <v>4</v>
      </c>
      <c r="B183" s="184" t="s">
        <v>63</v>
      </c>
      <c r="C183" s="221" t="s">
        <v>264</v>
      </c>
      <c r="D183" s="226">
        <f>'indiv. panels'!K42</f>
        <v>14500</v>
      </c>
      <c r="E183" s="213">
        <v>0.85</v>
      </c>
      <c r="F183" s="296">
        <f>D183/E183/208/SQRT(3)</f>
        <v>47.350559407520223</v>
      </c>
      <c r="G183" s="212" t="s">
        <v>226</v>
      </c>
      <c r="H183" s="219" t="s">
        <v>188</v>
      </c>
      <c r="I183" s="571" t="s">
        <v>376</v>
      </c>
      <c r="J183" s="572"/>
      <c r="K183" s="249" t="s">
        <v>188</v>
      </c>
    </row>
    <row r="184" spans="1:11" ht="15.95" customHeight="1">
      <c r="A184" s="197">
        <v>5</v>
      </c>
      <c r="B184" s="184" t="s">
        <v>58</v>
      </c>
      <c r="C184" s="221" t="s">
        <v>264</v>
      </c>
      <c r="D184" s="226">
        <f>'indiv. panels'!K50</f>
        <v>6250</v>
      </c>
      <c r="E184" s="213">
        <v>0.85</v>
      </c>
      <c r="F184" s="296">
        <f t="shared" ref="F184:F188" si="13">D184/E184/208/SQRT(3)</f>
        <v>20.409723882551816</v>
      </c>
      <c r="G184" s="212" t="s">
        <v>227</v>
      </c>
      <c r="H184" s="219" t="s">
        <v>188</v>
      </c>
      <c r="I184" s="575" t="s">
        <v>379</v>
      </c>
      <c r="J184" s="576"/>
      <c r="K184" s="249" t="s">
        <v>188</v>
      </c>
    </row>
    <row r="185" spans="1:11" ht="15.95" customHeight="1">
      <c r="A185" s="197">
        <v>6</v>
      </c>
      <c r="B185" s="184" t="s">
        <v>57</v>
      </c>
      <c r="C185" s="221" t="s">
        <v>264</v>
      </c>
      <c r="D185" s="226">
        <f>'indiv. panels'!K34</f>
        <v>18625</v>
      </c>
      <c r="E185" s="213">
        <v>0.85</v>
      </c>
      <c r="F185" s="296">
        <f t="shared" si="13"/>
        <v>60.820977170004419</v>
      </c>
      <c r="G185" s="212" t="s">
        <v>227</v>
      </c>
      <c r="H185" s="219" t="s">
        <v>188</v>
      </c>
      <c r="I185" s="575" t="s">
        <v>379</v>
      </c>
      <c r="J185" s="576"/>
      <c r="K185" s="249" t="s">
        <v>188</v>
      </c>
    </row>
    <row r="186" spans="1:11" ht="15.95" customHeight="1">
      <c r="A186" s="197">
        <v>7</v>
      </c>
      <c r="B186" s="184" t="s">
        <v>56</v>
      </c>
      <c r="C186" s="221" t="s">
        <v>264</v>
      </c>
      <c r="D186" s="226">
        <f>'indiv. panels'!K33</f>
        <v>26625</v>
      </c>
      <c r="E186" s="213">
        <v>0.85</v>
      </c>
      <c r="F186" s="296">
        <f t="shared" si="13"/>
        <v>86.945423739670744</v>
      </c>
      <c r="G186" s="212" t="s">
        <v>206</v>
      </c>
      <c r="H186" s="219" t="s">
        <v>188</v>
      </c>
      <c r="I186" s="571" t="s">
        <v>375</v>
      </c>
      <c r="J186" s="572"/>
      <c r="K186" s="249" t="s">
        <v>188</v>
      </c>
    </row>
    <row r="187" spans="1:11" ht="15.95" customHeight="1">
      <c r="A187" s="197">
        <v>8</v>
      </c>
      <c r="B187" s="184" t="s">
        <v>55</v>
      </c>
      <c r="C187" s="221" t="s">
        <v>264</v>
      </c>
      <c r="D187" s="226">
        <f>'indiv. panels'!K32</f>
        <v>15375</v>
      </c>
      <c r="E187" s="213">
        <v>0.85</v>
      </c>
      <c r="F187" s="296">
        <f t="shared" si="13"/>
        <v>50.207920751077467</v>
      </c>
      <c r="G187" s="212" t="s">
        <v>227</v>
      </c>
      <c r="H187" s="219" t="s">
        <v>188</v>
      </c>
      <c r="I187" s="575" t="s">
        <v>379</v>
      </c>
      <c r="J187" s="576"/>
      <c r="K187" s="249" t="s">
        <v>188</v>
      </c>
    </row>
    <row r="188" spans="1:11" ht="15.95" customHeight="1" thickBot="1">
      <c r="A188" s="332">
        <v>9</v>
      </c>
      <c r="B188" s="266" t="s">
        <v>54</v>
      </c>
      <c r="C188" s="333" t="s">
        <v>264</v>
      </c>
      <c r="D188" s="334">
        <f>'indiv. panels'!K31</f>
        <v>25625</v>
      </c>
      <c r="E188" s="215">
        <v>0.85</v>
      </c>
      <c r="F188" s="533">
        <f t="shared" si="13"/>
        <v>83.679867918462449</v>
      </c>
      <c r="G188" s="214" t="s">
        <v>227</v>
      </c>
      <c r="H188" s="253" t="s">
        <v>188</v>
      </c>
      <c r="I188" s="632" t="s">
        <v>379</v>
      </c>
      <c r="J188" s="633"/>
      <c r="K188" s="262" t="s">
        <v>188</v>
      </c>
    </row>
    <row r="189" spans="1:11" ht="15.95" customHeight="1" thickBot="1">
      <c r="D189" s="526"/>
      <c r="E189" s="526"/>
      <c r="F189" s="526"/>
      <c r="G189" s="538" t="s">
        <v>194</v>
      </c>
      <c r="H189" s="539"/>
      <c r="I189" s="540"/>
      <c r="J189" s="406"/>
      <c r="K189" s="532" t="s">
        <v>188</v>
      </c>
    </row>
    <row r="190" spans="1:11" ht="15.95" customHeight="1" thickTop="1">
      <c r="D190" s="525"/>
      <c r="E190" s="525"/>
      <c r="F190" s="525"/>
      <c r="G190" s="541" t="s">
        <v>195</v>
      </c>
      <c r="H190" s="542"/>
      <c r="I190" s="543"/>
      <c r="J190" s="529">
        <f>SUM(F180:F188)</f>
        <v>349.41447286928707</v>
      </c>
      <c r="K190" s="527"/>
    </row>
    <row r="191" spans="1:11" ht="15.95" customHeight="1" thickBot="1">
      <c r="D191" s="337"/>
      <c r="E191" s="337"/>
      <c r="F191" s="337"/>
      <c r="G191" s="535" t="s">
        <v>199</v>
      </c>
      <c r="H191" s="536"/>
      <c r="I191" s="537"/>
      <c r="J191" s="405" t="s">
        <v>200</v>
      </c>
      <c r="K191" s="528"/>
    </row>
    <row r="192" spans="1:11" ht="15.95" customHeight="1" thickBot="1">
      <c r="A192" s="623" t="s">
        <v>172</v>
      </c>
      <c r="B192" s="624"/>
    </row>
    <row r="193" spans="1:11" ht="15.95" customHeight="1">
      <c r="A193" s="549" t="s">
        <v>202</v>
      </c>
      <c r="B193" s="551" t="s">
        <v>165</v>
      </c>
      <c r="C193" s="551"/>
      <c r="D193" s="552" t="s">
        <v>191</v>
      </c>
      <c r="E193" s="553"/>
      <c r="F193" s="554"/>
      <c r="G193" s="618" t="s">
        <v>192</v>
      </c>
      <c r="H193" s="619"/>
      <c r="I193" s="577" t="s">
        <v>186</v>
      </c>
      <c r="J193" s="553"/>
      <c r="K193" s="578"/>
    </row>
    <row r="194" spans="1:11" ht="15.95" customHeight="1" thickBot="1">
      <c r="A194" s="550"/>
      <c r="B194" s="193" t="s">
        <v>91</v>
      </c>
      <c r="C194" s="194" t="s">
        <v>164</v>
      </c>
      <c r="D194" s="193" t="s">
        <v>403</v>
      </c>
      <c r="E194" s="231" t="s">
        <v>265</v>
      </c>
      <c r="F194" s="195" t="s">
        <v>257</v>
      </c>
      <c r="G194" s="254" t="s">
        <v>187</v>
      </c>
      <c r="H194" s="218" t="s">
        <v>188</v>
      </c>
      <c r="I194" s="591" t="s">
        <v>187</v>
      </c>
      <c r="J194" s="592"/>
      <c r="K194" s="328" t="s">
        <v>188</v>
      </c>
    </row>
    <row r="195" spans="1:11" ht="15.95" customHeight="1" thickTop="1">
      <c r="A195" s="196">
        <v>1</v>
      </c>
      <c r="B195" s="186" t="s">
        <v>59</v>
      </c>
      <c r="C195" s="221" t="s">
        <v>264</v>
      </c>
      <c r="D195" s="396">
        <f>'indiv. panels'!K35</f>
        <v>17125</v>
      </c>
      <c r="E195" s="234">
        <v>0.85</v>
      </c>
      <c r="F195" s="296">
        <f>D195/E195/208/SQRT(3)</f>
        <v>55.922643438191983</v>
      </c>
      <c r="G195" s="255" t="s">
        <v>227</v>
      </c>
      <c r="H195" s="264" t="s">
        <v>188</v>
      </c>
      <c r="I195" s="575" t="s">
        <v>379</v>
      </c>
      <c r="J195" s="576"/>
      <c r="K195" s="257" t="s">
        <v>188</v>
      </c>
    </row>
    <row r="196" spans="1:11" ht="15.95" customHeight="1">
      <c r="A196" s="197">
        <v>2</v>
      </c>
      <c r="B196" s="184" t="s">
        <v>60</v>
      </c>
      <c r="C196" s="221" t="s">
        <v>264</v>
      </c>
      <c r="D196" s="226">
        <f>'indiv. panels'!K36</f>
        <v>21875</v>
      </c>
      <c r="E196" s="213">
        <v>0.85</v>
      </c>
      <c r="F196" s="296">
        <f t="shared" ref="F196:F199" si="14">D196/E196/208/SQRT(3)</f>
        <v>71.434033588931356</v>
      </c>
      <c r="G196" s="255" t="s">
        <v>227</v>
      </c>
      <c r="H196" s="219" t="s">
        <v>188</v>
      </c>
      <c r="I196" s="575" t="s">
        <v>379</v>
      </c>
      <c r="J196" s="576"/>
      <c r="K196" s="249" t="s">
        <v>188</v>
      </c>
    </row>
    <row r="197" spans="1:11" ht="15.95" customHeight="1">
      <c r="A197" s="197">
        <v>3</v>
      </c>
      <c r="B197" s="184" t="s">
        <v>61</v>
      </c>
      <c r="C197" s="221" t="s">
        <v>264</v>
      </c>
      <c r="D197" s="226">
        <f>'indiv. panels'!K37</f>
        <v>24125</v>
      </c>
      <c r="E197" s="213">
        <v>0.85</v>
      </c>
      <c r="F197" s="296">
        <f t="shared" si="14"/>
        <v>78.781534186650021</v>
      </c>
      <c r="G197" s="255" t="s">
        <v>227</v>
      </c>
      <c r="H197" s="219" t="s">
        <v>188</v>
      </c>
      <c r="I197" s="575" t="s">
        <v>379</v>
      </c>
      <c r="J197" s="576"/>
      <c r="K197" s="249" t="s">
        <v>188</v>
      </c>
    </row>
    <row r="198" spans="1:11" ht="15.95" customHeight="1">
      <c r="A198" s="197">
        <v>4</v>
      </c>
      <c r="B198" s="184" t="s">
        <v>62</v>
      </c>
      <c r="C198" s="221" t="s">
        <v>264</v>
      </c>
      <c r="D198" s="226">
        <f>'indiv. panels'!K51</f>
        <v>10500</v>
      </c>
      <c r="E198" s="213">
        <v>0.85</v>
      </c>
      <c r="F198" s="296">
        <f t="shared" si="14"/>
        <v>34.288336122687056</v>
      </c>
      <c r="G198" s="255" t="s">
        <v>227</v>
      </c>
      <c r="H198" s="219" t="s">
        <v>188</v>
      </c>
      <c r="I198" s="575" t="s">
        <v>379</v>
      </c>
      <c r="J198" s="576"/>
      <c r="K198" s="249" t="s">
        <v>188</v>
      </c>
    </row>
    <row r="199" spans="1:11" ht="15.95" customHeight="1">
      <c r="A199" s="197">
        <v>5</v>
      </c>
      <c r="B199" s="184" t="s">
        <v>64</v>
      </c>
      <c r="C199" s="221" t="s">
        <v>264</v>
      </c>
      <c r="D199" s="226">
        <f>'indiv. panels'!K43</f>
        <v>13250</v>
      </c>
      <c r="E199" s="213">
        <v>0.85</v>
      </c>
      <c r="F199" s="296">
        <f t="shared" si="14"/>
        <v>43.268614631009854</v>
      </c>
      <c r="G199" s="255" t="s">
        <v>226</v>
      </c>
      <c r="H199" s="219" t="s">
        <v>188</v>
      </c>
      <c r="I199" s="571" t="s">
        <v>376</v>
      </c>
      <c r="J199" s="572"/>
      <c r="K199" s="249" t="s">
        <v>188</v>
      </c>
    </row>
    <row r="200" spans="1:11" ht="15.95" customHeight="1">
      <c r="A200" s="199">
        <v>6</v>
      </c>
      <c r="B200" s="200"/>
      <c r="C200" s="201" t="s">
        <v>182</v>
      </c>
      <c r="D200" s="225"/>
      <c r="E200" s="233"/>
      <c r="F200" s="293"/>
      <c r="G200" s="245" t="s">
        <v>227</v>
      </c>
      <c r="H200" s="201"/>
      <c r="I200" s="596"/>
      <c r="J200" s="597"/>
      <c r="K200" s="338"/>
    </row>
    <row r="201" spans="1:11" ht="15.95" customHeight="1">
      <c r="A201" s="199">
        <v>7</v>
      </c>
      <c r="B201" s="200"/>
      <c r="C201" s="201" t="s">
        <v>183</v>
      </c>
      <c r="D201" s="225"/>
      <c r="E201" s="233"/>
      <c r="F201" s="293"/>
      <c r="G201" s="244" t="s">
        <v>262</v>
      </c>
      <c r="H201" s="201"/>
      <c r="I201" s="596"/>
      <c r="J201" s="597"/>
      <c r="K201" s="338"/>
    </row>
    <row r="202" spans="1:11" ht="15.95" customHeight="1" thickBot="1">
      <c r="A202" s="343">
        <v>8</v>
      </c>
      <c r="B202" s="261"/>
      <c r="C202" s="260" t="s">
        <v>183</v>
      </c>
      <c r="D202" s="395"/>
      <c r="E202" s="267"/>
      <c r="F202" s="297"/>
      <c r="G202" s="268" t="s">
        <v>262</v>
      </c>
      <c r="H202" s="260"/>
      <c r="I202" s="598"/>
      <c r="J202" s="599"/>
      <c r="K202" s="344"/>
    </row>
    <row r="203" spans="1:11" ht="15.95" customHeight="1" thickBot="1">
      <c r="D203" s="526"/>
      <c r="E203" s="526"/>
      <c r="F203" s="526"/>
      <c r="G203" s="538" t="s">
        <v>194</v>
      </c>
      <c r="H203" s="539"/>
      <c r="I203" s="540"/>
      <c r="J203" s="406"/>
      <c r="K203" s="532" t="s">
        <v>188</v>
      </c>
    </row>
    <row r="204" spans="1:11" ht="15.95" customHeight="1" thickTop="1">
      <c r="D204" s="525"/>
      <c r="E204" s="525"/>
      <c r="F204" s="525"/>
      <c r="G204" s="541" t="s">
        <v>195</v>
      </c>
      <c r="H204" s="542"/>
      <c r="I204" s="543"/>
      <c r="J204" s="529">
        <f>SUM(F195:F202)</f>
        <v>283.69516196747031</v>
      </c>
      <c r="K204" s="527"/>
    </row>
    <row r="205" spans="1:11" ht="15.95" customHeight="1" thickBot="1">
      <c r="D205" s="337"/>
      <c r="E205" s="337"/>
      <c r="F205" s="337"/>
      <c r="G205" s="535" t="s">
        <v>199</v>
      </c>
      <c r="H205" s="536"/>
      <c r="I205" s="537"/>
      <c r="J205" s="405" t="s">
        <v>200</v>
      </c>
      <c r="K205" s="528"/>
    </row>
    <row r="206" spans="1:11" ht="15.95" customHeight="1" thickBot="1">
      <c r="A206" s="643" t="s">
        <v>177</v>
      </c>
      <c r="B206" s="644"/>
      <c r="C206" s="570"/>
      <c r="D206" s="570"/>
    </row>
    <row r="207" spans="1:11" ht="15.95" customHeight="1">
      <c r="A207" s="549" t="s">
        <v>202</v>
      </c>
      <c r="B207" s="551" t="s">
        <v>228</v>
      </c>
      <c r="C207" s="551"/>
      <c r="D207" s="552" t="s">
        <v>191</v>
      </c>
      <c r="E207" s="553"/>
      <c r="F207" s="554"/>
      <c r="G207" s="618" t="s">
        <v>192</v>
      </c>
      <c r="H207" s="619"/>
      <c r="I207" s="577" t="s">
        <v>186</v>
      </c>
      <c r="J207" s="553"/>
      <c r="K207" s="578"/>
    </row>
    <row r="208" spans="1:11" ht="15.95" customHeight="1" thickBot="1">
      <c r="A208" s="550"/>
      <c r="B208" s="193" t="s">
        <v>91</v>
      </c>
      <c r="C208" s="194" t="s">
        <v>164</v>
      </c>
      <c r="D208" s="193" t="s">
        <v>403</v>
      </c>
      <c r="E208" s="231" t="s">
        <v>265</v>
      </c>
      <c r="F208" s="195" t="s">
        <v>257</v>
      </c>
      <c r="G208" s="254" t="s">
        <v>187</v>
      </c>
      <c r="H208" s="218" t="s">
        <v>188</v>
      </c>
      <c r="I208" s="591" t="s">
        <v>187</v>
      </c>
      <c r="J208" s="592"/>
      <c r="K208" s="328" t="s">
        <v>188</v>
      </c>
    </row>
    <row r="209" spans="1:11" ht="15.95" customHeight="1" thickTop="1">
      <c r="A209" s="196">
        <v>1</v>
      </c>
      <c r="B209" s="186" t="s">
        <v>123</v>
      </c>
      <c r="C209" s="188" t="s">
        <v>385</v>
      </c>
      <c r="D209" s="186" t="s">
        <v>218</v>
      </c>
      <c r="E209" s="234">
        <v>0.9</v>
      </c>
      <c r="F209" s="296">
        <f>'mech loads'!I17</f>
        <v>93.126517962242758</v>
      </c>
      <c r="G209" s="255" t="s">
        <v>221</v>
      </c>
      <c r="H209" s="265" t="s">
        <v>189</v>
      </c>
      <c r="I209" s="593" t="s">
        <v>255</v>
      </c>
      <c r="J209" s="594"/>
      <c r="K209" s="257" t="s">
        <v>188</v>
      </c>
    </row>
    <row r="210" spans="1:11" ht="15.95" customHeight="1">
      <c r="A210" s="197">
        <v>2</v>
      </c>
      <c r="B210" s="184" t="s">
        <v>124</v>
      </c>
      <c r="C210" s="189" t="s">
        <v>385</v>
      </c>
      <c r="D210" s="184" t="s">
        <v>219</v>
      </c>
      <c r="E210" s="234">
        <v>0.9</v>
      </c>
      <c r="F210" s="296">
        <f>'mech loads'!I18</f>
        <v>46.563258981121379</v>
      </c>
      <c r="G210" s="212" t="s">
        <v>222</v>
      </c>
      <c r="H210" s="219" t="s">
        <v>188</v>
      </c>
      <c r="I210" s="571" t="s">
        <v>256</v>
      </c>
      <c r="J210" s="572"/>
      <c r="K210" s="249" t="s">
        <v>188</v>
      </c>
    </row>
    <row r="211" spans="1:11" ht="15.95" customHeight="1">
      <c r="A211" s="197">
        <v>3</v>
      </c>
      <c r="B211" s="184" t="s">
        <v>125</v>
      </c>
      <c r="C211" s="189" t="s">
        <v>385</v>
      </c>
      <c r="D211" s="184" t="s">
        <v>218</v>
      </c>
      <c r="E211" s="234">
        <v>0.9</v>
      </c>
      <c r="F211" s="296">
        <f>'mech loads'!I19</f>
        <v>93.126517962242758</v>
      </c>
      <c r="G211" s="212" t="s">
        <v>221</v>
      </c>
      <c r="H211" s="265" t="s">
        <v>189</v>
      </c>
      <c r="I211" s="571" t="s">
        <v>255</v>
      </c>
      <c r="J211" s="572"/>
      <c r="K211" s="249" t="s">
        <v>188</v>
      </c>
    </row>
    <row r="212" spans="1:11" ht="15.95" customHeight="1">
      <c r="A212" s="197">
        <v>4</v>
      </c>
      <c r="B212" s="184" t="s">
        <v>126</v>
      </c>
      <c r="C212" s="189" t="s">
        <v>385</v>
      </c>
      <c r="D212" s="184" t="s">
        <v>218</v>
      </c>
      <c r="E212" s="234">
        <v>0.9</v>
      </c>
      <c r="F212" s="296">
        <f>'mech loads'!I20</f>
        <v>93.126517962242758</v>
      </c>
      <c r="G212" s="212" t="s">
        <v>221</v>
      </c>
      <c r="H212" s="265" t="s">
        <v>189</v>
      </c>
      <c r="I212" s="571" t="s">
        <v>255</v>
      </c>
      <c r="J212" s="572"/>
      <c r="K212" s="249" t="s">
        <v>188</v>
      </c>
    </row>
    <row r="213" spans="1:11" ht="15.95" customHeight="1">
      <c r="A213" s="197">
        <v>5</v>
      </c>
      <c r="B213" s="184" t="s">
        <v>127</v>
      </c>
      <c r="C213" s="189" t="s">
        <v>385</v>
      </c>
      <c r="D213" s="184" t="s">
        <v>218</v>
      </c>
      <c r="E213" s="234">
        <v>0.9</v>
      </c>
      <c r="F213" s="296">
        <f>'mech loads'!I21</f>
        <v>93.126517962242758</v>
      </c>
      <c r="G213" s="212" t="s">
        <v>221</v>
      </c>
      <c r="H213" s="265" t="s">
        <v>189</v>
      </c>
      <c r="I213" s="571" t="s">
        <v>255</v>
      </c>
      <c r="J213" s="572"/>
      <c r="K213" s="249" t="s">
        <v>188</v>
      </c>
    </row>
    <row r="214" spans="1:11" ht="15.95" customHeight="1">
      <c r="A214" s="199">
        <v>6</v>
      </c>
      <c r="B214" s="200"/>
      <c r="C214" s="201" t="s">
        <v>182</v>
      </c>
      <c r="D214" s="200"/>
      <c r="E214" s="232"/>
      <c r="F214" s="293"/>
      <c r="G214" s="245" t="s">
        <v>223</v>
      </c>
      <c r="H214" s="223"/>
      <c r="I214" s="581"/>
      <c r="J214" s="582"/>
      <c r="K214" s="247"/>
    </row>
    <row r="215" spans="1:11" ht="15.95" customHeight="1">
      <c r="A215" s="197">
        <v>7</v>
      </c>
      <c r="B215" s="184" t="s">
        <v>111</v>
      </c>
      <c r="C215" s="189" t="s">
        <v>386</v>
      </c>
      <c r="D215" s="184" t="s">
        <v>232</v>
      </c>
      <c r="E215" s="234">
        <v>0.9</v>
      </c>
      <c r="F215" s="292">
        <f>'mech loads'!I4</f>
        <v>232.81629490560692</v>
      </c>
      <c r="G215" s="212" t="s">
        <v>224</v>
      </c>
      <c r="H215" s="265" t="s">
        <v>189</v>
      </c>
      <c r="I215" s="571" t="s">
        <v>253</v>
      </c>
      <c r="J215" s="572"/>
      <c r="K215" s="249" t="s">
        <v>188</v>
      </c>
    </row>
    <row r="216" spans="1:11" ht="15.95" customHeight="1">
      <c r="A216" s="197">
        <v>8</v>
      </c>
      <c r="B216" s="184" t="s">
        <v>112</v>
      </c>
      <c r="C216" s="189" t="s">
        <v>386</v>
      </c>
      <c r="D216" s="184" t="s">
        <v>236</v>
      </c>
      <c r="E216" s="234">
        <v>0.9</v>
      </c>
      <c r="F216" s="292">
        <f>'mech loads'!I5</f>
        <v>124.16869061632372</v>
      </c>
      <c r="G216" s="212" t="s">
        <v>225</v>
      </c>
      <c r="H216" s="219" t="s">
        <v>188</v>
      </c>
      <c r="I216" s="571" t="s">
        <v>248</v>
      </c>
      <c r="J216" s="572"/>
      <c r="K216" s="249" t="s">
        <v>188</v>
      </c>
    </row>
    <row r="217" spans="1:11" ht="15.95" customHeight="1">
      <c r="A217" s="197">
        <v>9</v>
      </c>
      <c r="B217" s="184" t="s">
        <v>113</v>
      </c>
      <c r="C217" s="189" t="s">
        <v>386</v>
      </c>
      <c r="D217" s="184" t="s">
        <v>232</v>
      </c>
      <c r="E217" s="234">
        <v>0.9</v>
      </c>
      <c r="F217" s="292">
        <f>'mech loads'!I6</f>
        <v>232.81629490560692</v>
      </c>
      <c r="G217" s="212" t="s">
        <v>224</v>
      </c>
      <c r="H217" s="265" t="s">
        <v>189</v>
      </c>
      <c r="I217" s="571" t="s">
        <v>253</v>
      </c>
      <c r="J217" s="572"/>
      <c r="K217" s="249" t="s">
        <v>188</v>
      </c>
    </row>
    <row r="218" spans="1:11" ht="15.95" customHeight="1">
      <c r="A218" s="197">
        <v>10</v>
      </c>
      <c r="B218" s="184" t="s">
        <v>114</v>
      </c>
      <c r="C218" s="189" t="s">
        <v>386</v>
      </c>
      <c r="D218" s="184" t="s">
        <v>232</v>
      </c>
      <c r="E218" s="234">
        <v>0.9</v>
      </c>
      <c r="F218" s="292">
        <f>'mech loads'!I7</f>
        <v>232.81629490560692</v>
      </c>
      <c r="G218" s="212" t="s">
        <v>224</v>
      </c>
      <c r="H218" s="265" t="s">
        <v>189</v>
      </c>
      <c r="I218" s="571" t="s">
        <v>253</v>
      </c>
      <c r="J218" s="572"/>
      <c r="K218" s="249" t="s">
        <v>188</v>
      </c>
    </row>
    <row r="219" spans="1:11" ht="15.95" customHeight="1">
      <c r="A219" s="197">
        <v>11</v>
      </c>
      <c r="B219" s="184" t="s">
        <v>115</v>
      </c>
      <c r="C219" s="189" t="s">
        <v>386</v>
      </c>
      <c r="D219" s="184" t="s">
        <v>232</v>
      </c>
      <c r="E219" s="234">
        <v>0.9</v>
      </c>
      <c r="F219" s="292">
        <f>'mech loads'!I8</f>
        <v>232.81629490560692</v>
      </c>
      <c r="G219" s="212" t="s">
        <v>224</v>
      </c>
      <c r="H219" s="265" t="s">
        <v>189</v>
      </c>
      <c r="I219" s="571" t="s">
        <v>253</v>
      </c>
      <c r="J219" s="572"/>
      <c r="K219" s="249" t="s">
        <v>188</v>
      </c>
    </row>
    <row r="220" spans="1:11" ht="15.95" customHeight="1">
      <c r="A220" s="199">
        <v>12</v>
      </c>
      <c r="B220" s="200"/>
      <c r="C220" s="201" t="s">
        <v>182</v>
      </c>
      <c r="D220" s="200"/>
      <c r="E220" s="232"/>
      <c r="F220" s="293"/>
      <c r="G220" s="245" t="s">
        <v>226</v>
      </c>
      <c r="H220" s="223"/>
      <c r="I220" s="581"/>
      <c r="J220" s="582"/>
      <c r="K220" s="247"/>
    </row>
    <row r="221" spans="1:11" ht="15.95" customHeight="1">
      <c r="A221" s="197">
        <v>13</v>
      </c>
      <c r="B221" s="184" t="s">
        <v>220</v>
      </c>
      <c r="C221" s="189" t="s">
        <v>385</v>
      </c>
      <c r="D221" s="184" t="s">
        <v>242</v>
      </c>
      <c r="E221" s="234">
        <v>0.9</v>
      </c>
      <c r="F221" s="295">
        <f>1.5/0.7457/0.9</f>
        <v>2.2350364310938269</v>
      </c>
      <c r="G221" s="212" t="s">
        <v>223</v>
      </c>
      <c r="H221" s="219" t="s">
        <v>188</v>
      </c>
      <c r="I221" s="573" t="s">
        <v>252</v>
      </c>
      <c r="J221" s="574"/>
      <c r="K221" s="249" t="s">
        <v>188</v>
      </c>
    </row>
    <row r="222" spans="1:11" ht="15.95" customHeight="1">
      <c r="A222" s="197">
        <v>14</v>
      </c>
      <c r="B222" s="184" t="s">
        <v>136</v>
      </c>
      <c r="C222" s="189" t="s">
        <v>385</v>
      </c>
      <c r="D222" s="184" t="s">
        <v>239</v>
      </c>
      <c r="E222" s="234">
        <v>0.9</v>
      </c>
      <c r="F222" s="295">
        <f>'mech loads'!I30</f>
        <v>7.7605431635202322</v>
      </c>
      <c r="G222" s="212" t="s">
        <v>223</v>
      </c>
      <c r="H222" s="219" t="s">
        <v>188</v>
      </c>
      <c r="I222" s="573" t="s">
        <v>252</v>
      </c>
      <c r="J222" s="574"/>
      <c r="K222" s="249" t="s">
        <v>188</v>
      </c>
    </row>
    <row r="223" spans="1:11" ht="15.95" customHeight="1">
      <c r="A223" s="199">
        <v>15</v>
      </c>
      <c r="B223" s="200"/>
      <c r="C223" s="201" t="s">
        <v>182</v>
      </c>
      <c r="D223" s="200"/>
      <c r="E223" s="233"/>
      <c r="F223" s="293"/>
      <c r="G223" s="245" t="s">
        <v>227</v>
      </c>
      <c r="H223" s="201"/>
      <c r="I223" s="596"/>
      <c r="J223" s="597"/>
      <c r="K223" s="338"/>
    </row>
    <row r="224" spans="1:11" ht="15.95" customHeight="1">
      <c r="A224" s="199">
        <v>16</v>
      </c>
      <c r="B224" s="200"/>
      <c r="C224" s="201" t="s">
        <v>182</v>
      </c>
      <c r="D224" s="200"/>
      <c r="E224" s="233"/>
      <c r="F224" s="293"/>
      <c r="G224" s="245" t="s">
        <v>227</v>
      </c>
      <c r="H224" s="201"/>
      <c r="I224" s="596"/>
      <c r="J224" s="597"/>
      <c r="K224" s="338"/>
    </row>
    <row r="225" spans="1:11" ht="15.95" customHeight="1">
      <c r="A225" s="199">
        <v>17</v>
      </c>
      <c r="B225" s="200"/>
      <c r="C225" s="201" t="s">
        <v>183</v>
      </c>
      <c r="D225" s="200"/>
      <c r="E225" s="233"/>
      <c r="F225" s="293"/>
      <c r="G225" s="245" t="s">
        <v>262</v>
      </c>
      <c r="H225" s="201"/>
      <c r="I225" s="596"/>
      <c r="J225" s="597"/>
      <c r="K225" s="338"/>
    </row>
    <row r="226" spans="1:11" ht="15.95" customHeight="1" thickBot="1">
      <c r="A226" s="343">
        <v>18</v>
      </c>
      <c r="B226" s="261"/>
      <c r="C226" s="260" t="s">
        <v>183</v>
      </c>
      <c r="D226" s="261"/>
      <c r="E226" s="267"/>
      <c r="F226" s="297"/>
      <c r="G226" s="268" t="s">
        <v>262</v>
      </c>
      <c r="H226" s="260"/>
      <c r="I226" s="598"/>
      <c r="J226" s="599"/>
      <c r="K226" s="344"/>
    </row>
    <row r="227" spans="1:11" ht="15.95" customHeight="1" thickBot="1">
      <c r="D227" s="526"/>
      <c r="E227" s="526"/>
      <c r="F227" s="526"/>
      <c r="G227" s="538" t="s">
        <v>194</v>
      </c>
      <c r="H227" s="539"/>
      <c r="I227" s="540"/>
      <c r="J227" s="406"/>
      <c r="K227" s="532" t="s">
        <v>188</v>
      </c>
    </row>
    <row r="228" spans="1:11" ht="15.95" customHeight="1" thickTop="1">
      <c r="D228" s="525"/>
      <c r="E228" s="525"/>
      <c r="F228" s="525"/>
      <c r="G228" s="541" t="s">
        <v>195</v>
      </c>
      <c r="H228" s="542"/>
      <c r="I228" s="543"/>
      <c r="J228" s="529">
        <f>SUM(F209:F226)</f>
        <v>1484.4987806634579</v>
      </c>
      <c r="K228" s="527"/>
    </row>
    <row r="229" spans="1:11" ht="15.95" customHeight="1" thickBot="1">
      <c r="D229" s="337"/>
      <c r="E229" s="337"/>
      <c r="F229" s="337"/>
      <c r="G229" s="535" t="s">
        <v>199</v>
      </c>
      <c r="H229" s="536"/>
      <c r="I229" s="537"/>
      <c r="J229" s="405" t="s">
        <v>200</v>
      </c>
      <c r="K229" s="528"/>
    </row>
    <row r="230" spans="1:11" ht="15.95" customHeight="1" thickBot="1">
      <c r="A230" s="623" t="s">
        <v>178</v>
      </c>
      <c r="B230" s="624"/>
    </row>
    <row r="231" spans="1:11" ht="15.95" customHeight="1">
      <c r="A231" s="549" t="s">
        <v>202</v>
      </c>
      <c r="B231" s="551" t="s">
        <v>228</v>
      </c>
      <c r="C231" s="551"/>
      <c r="D231" s="552" t="s">
        <v>191</v>
      </c>
      <c r="E231" s="553"/>
      <c r="F231" s="554"/>
      <c r="G231" s="618" t="s">
        <v>192</v>
      </c>
      <c r="H231" s="619"/>
      <c r="I231" s="577" t="s">
        <v>186</v>
      </c>
      <c r="J231" s="553"/>
      <c r="K231" s="578"/>
    </row>
    <row r="232" spans="1:11" ht="15.95" customHeight="1" thickBot="1">
      <c r="A232" s="550"/>
      <c r="B232" s="193" t="s">
        <v>91</v>
      </c>
      <c r="C232" s="194" t="s">
        <v>164</v>
      </c>
      <c r="D232" s="193" t="s">
        <v>403</v>
      </c>
      <c r="E232" s="231" t="s">
        <v>265</v>
      </c>
      <c r="F232" s="290" t="s">
        <v>257</v>
      </c>
      <c r="G232" s="254" t="s">
        <v>187</v>
      </c>
      <c r="H232" s="218" t="s">
        <v>188</v>
      </c>
      <c r="I232" s="591" t="s">
        <v>187</v>
      </c>
      <c r="J232" s="592"/>
      <c r="K232" s="328" t="s">
        <v>188</v>
      </c>
    </row>
    <row r="233" spans="1:11" ht="15.95" customHeight="1" thickTop="1">
      <c r="A233" s="196">
        <v>1</v>
      </c>
      <c r="B233" s="186" t="s">
        <v>116</v>
      </c>
      <c r="C233" s="188" t="s">
        <v>386</v>
      </c>
      <c r="D233" s="186" t="s">
        <v>236</v>
      </c>
      <c r="E233" s="239">
        <v>0.9</v>
      </c>
      <c r="F233" s="291">
        <f>'mech loads'!I9</f>
        <v>124.16869061632372</v>
      </c>
      <c r="G233" s="255" t="s">
        <v>225</v>
      </c>
      <c r="H233" s="264" t="s">
        <v>188</v>
      </c>
      <c r="I233" s="593" t="s">
        <v>248</v>
      </c>
      <c r="J233" s="594"/>
      <c r="K233" s="257" t="s">
        <v>188</v>
      </c>
    </row>
    <row r="234" spans="1:11" ht="15.95" customHeight="1">
      <c r="A234" s="197">
        <v>2</v>
      </c>
      <c r="B234" s="184" t="s">
        <v>117</v>
      </c>
      <c r="C234" s="189" t="s">
        <v>386</v>
      </c>
      <c r="D234" s="184" t="s">
        <v>237</v>
      </c>
      <c r="E234" s="239">
        <v>0.9</v>
      </c>
      <c r="F234" s="291">
        <f>'mech loads'!I10</f>
        <v>155.21086327040462</v>
      </c>
      <c r="G234" s="212" t="s">
        <v>206</v>
      </c>
      <c r="H234" s="219" t="s">
        <v>188</v>
      </c>
      <c r="I234" s="571" t="s">
        <v>246</v>
      </c>
      <c r="J234" s="572"/>
      <c r="K234" s="249" t="s">
        <v>188</v>
      </c>
    </row>
    <row r="235" spans="1:11" ht="15.95" customHeight="1">
      <c r="A235" s="197">
        <v>3</v>
      </c>
      <c r="B235" s="184" t="s">
        <v>118</v>
      </c>
      <c r="C235" s="189" t="s">
        <v>386</v>
      </c>
      <c r="D235" s="184" t="s">
        <v>237</v>
      </c>
      <c r="E235" s="239">
        <v>0.9</v>
      </c>
      <c r="F235" s="291">
        <f>'mech loads'!I11</f>
        <v>155.21086327040462</v>
      </c>
      <c r="G235" s="212" t="s">
        <v>206</v>
      </c>
      <c r="H235" s="265" t="s">
        <v>189</v>
      </c>
      <c r="I235" s="571" t="s">
        <v>246</v>
      </c>
      <c r="J235" s="572"/>
      <c r="K235" s="258" t="s">
        <v>189</v>
      </c>
    </row>
    <row r="236" spans="1:11" ht="15.95" customHeight="1">
      <c r="A236" s="197">
        <v>4</v>
      </c>
      <c r="B236" s="184" t="s">
        <v>119</v>
      </c>
      <c r="C236" s="189" t="s">
        <v>386</v>
      </c>
      <c r="D236" s="184" t="s">
        <v>237</v>
      </c>
      <c r="E236" s="239">
        <v>0.9</v>
      </c>
      <c r="F236" s="291">
        <f>'mech loads'!I12</f>
        <v>155.21086327040462</v>
      </c>
      <c r="G236" s="212" t="s">
        <v>206</v>
      </c>
      <c r="H236" s="265" t="s">
        <v>189</v>
      </c>
      <c r="I236" s="571" t="s">
        <v>246</v>
      </c>
      <c r="J236" s="572"/>
      <c r="K236" s="258" t="s">
        <v>189</v>
      </c>
    </row>
    <row r="237" spans="1:11" ht="15.95" customHeight="1">
      <c r="A237" s="197">
        <v>5</v>
      </c>
      <c r="B237" s="184" t="s">
        <v>120</v>
      </c>
      <c r="C237" s="189" t="s">
        <v>386</v>
      </c>
      <c r="D237" s="184" t="s">
        <v>238</v>
      </c>
      <c r="E237" s="239">
        <v>0.9</v>
      </c>
      <c r="F237" s="296">
        <f>'mech loads'!I13</f>
        <v>62.084345308161858</v>
      </c>
      <c r="G237" s="212" t="s">
        <v>243</v>
      </c>
      <c r="H237" s="219" t="s">
        <v>188</v>
      </c>
      <c r="I237" s="571" t="s">
        <v>249</v>
      </c>
      <c r="J237" s="572"/>
      <c r="K237" s="249" t="s">
        <v>188</v>
      </c>
    </row>
    <row r="238" spans="1:11" ht="15.95" customHeight="1">
      <c r="A238" s="197">
        <v>6</v>
      </c>
      <c r="B238" s="184" t="s">
        <v>128</v>
      </c>
      <c r="C238" s="189" t="s">
        <v>385</v>
      </c>
      <c r="D238" s="184" t="s">
        <v>238</v>
      </c>
      <c r="E238" s="236">
        <v>0.9</v>
      </c>
      <c r="F238" s="294">
        <f>'mech loads'!I22</f>
        <v>62.084345308161858</v>
      </c>
      <c r="G238" s="212" t="s">
        <v>226</v>
      </c>
      <c r="H238" s="219" t="s">
        <v>188</v>
      </c>
      <c r="I238" s="571" t="s">
        <v>249</v>
      </c>
      <c r="J238" s="572"/>
      <c r="K238" s="249" t="s">
        <v>188</v>
      </c>
    </row>
    <row r="239" spans="1:11" ht="15.95" customHeight="1">
      <c r="A239" s="197">
        <v>7</v>
      </c>
      <c r="B239" s="184" t="s">
        <v>135</v>
      </c>
      <c r="C239" s="189" t="s">
        <v>385</v>
      </c>
      <c r="D239" s="184" t="s">
        <v>239</v>
      </c>
      <c r="E239" s="236">
        <v>0.9</v>
      </c>
      <c r="F239" s="295">
        <f>'mech loads'!I29</f>
        <v>7.7605431635202322</v>
      </c>
      <c r="G239" s="212" t="s">
        <v>223</v>
      </c>
      <c r="H239" s="219" t="s">
        <v>188</v>
      </c>
      <c r="I239" s="573" t="s">
        <v>252</v>
      </c>
      <c r="J239" s="574"/>
      <c r="K239" s="249" t="s">
        <v>188</v>
      </c>
    </row>
    <row r="240" spans="1:11" ht="15.95" customHeight="1">
      <c r="A240" s="197">
        <v>8</v>
      </c>
      <c r="B240" s="184" t="s">
        <v>130</v>
      </c>
      <c r="C240" s="189" t="s">
        <v>385</v>
      </c>
      <c r="D240" s="184" t="s">
        <v>240</v>
      </c>
      <c r="E240" s="236">
        <v>0.9</v>
      </c>
      <c r="F240" s="294">
        <f>'mech loads'!I24</f>
        <v>77.605431635202308</v>
      </c>
      <c r="G240" s="212" t="s">
        <v>244</v>
      </c>
      <c r="H240" s="219" t="s">
        <v>188</v>
      </c>
      <c r="I240" s="571" t="s">
        <v>250</v>
      </c>
      <c r="J240" s="572"/>
      <c r="K240" s="249" t="s">
        <v>188</v>
      </c>
    </row>
    <row r="241" spans="1:11" ht="15.75">
      <c r="A241" s="197">
        <v>9</v>
      </c>
      <c r="B241" s="184" t="s">
        <v>131</v>
      </c>
      <c r="C241" s="189" t="s">
        <v>385</v>
      </c>
      <c r="D241" s="184" t="s">
        <v>240</v>
      </c>
      <c r="E241" s="236">
        <v>0.9</v>
      </c>
      <c r="F241" s="294">
        <f>'mech loads'!I25</f>
        <v>77.605431635202308</v>
      </c>
      <c r="G241" s="212" t="s">
        <v>244</v>
      </c>
      <c r="H241" s="219" t="s">
        <v>188</v>
      </c>
      <c r="I241" s="571" t="s">
        <v>250</v>
      </c>
      <c r="J241" s="572"/>
      <c r="K241" s="249" t="s">
        <v>188</v>
      </c>
    </row>
    <row r="242" spans="1:11" ht="15.75">
      <c r="A242" s="197">
        <v>10</v>
      </c>
      <c r="B242" s="184" t="s">
        <v>132</v>
      </c>
      <c r="C242" s="189" t="s">
        <v>385</v>
      </c>
      <c r="D242" s="184" t="s">
        <v>241</v>
      </c>
      <c r="E242" s="236">
        <v>0.9</v>
      </c>
      <c r="F242" s="294">
        <f>'mech loads'!I26</f>
        <v>31.042172654080929</v>
      </c>
      <c r="G242" s="212" t="s">
        <v>233</v>
      </c>
      <c r="H242" s="219" t="s">
        <v>188</v>
      </c>
      <c r="I242" s="571" t="s">
        <v>251</v>
      </c>
      <c r="J242" s="572"/>
      <c r="K242" s="249" t="s">
        <v>188</v>
      </c>
    </row>
    <row r="243" spans="1:11" ht="15.75">
      <c r="A243" s="199">
        <v>11</v>
      </c>
      <c r="B243" s="200"/>
      <c r="C243" s="201" t="s">
        <v>182</v>
      </c>
      <c r="D243" s="200"/>
      <c r="E243" s="240"/>
      <c r="F243" s="293"/>
      <c r="G243" s="245" t="s">
        <v>227</v>
      </c>
      <c r="H243" s="223"/>
      <c r="I243" s="600"/>
      <c r="J243" s="601"/>
      <c r="K243" s="247"/>
    </row>
    <row r="244" spans="1:11" ht="15.75">
      <c r="A244" s="197">
        <v>12</v>
      </c>
      <c r="B244" s="184" t="s">
        <v>134</v>
      </c>
      <c r="C244" s="189" t="s">
        <v>385</v>
      </c>
      <c r="D244" s="184">
        <f>'mech loads'!F28</f>
        <v>5</v>
      </c>
      <c r="E244" s="236">
        <v>0.9</v>
      </c>
      <c r="F244" s="294">
        <f>'mech loads'!I28</f>
        <v>15.521086327040464</v>
      </c>
      <c r="G244" s="212" t="s">
        <v>223</v>
      </c>
      <c r="H244" s="219" t="s">
        <v>188</v>
      </c>
      <c r="I244" s="571" t="s">
        <v>245</v>
      </c>
      <c r="J244" s="572"/>
      <c r="K244" s="249" t="s">
        <v>188</v>
      </c>
    </row>
    <row r="245" spans="1:11" ht="15.75">
      <c r="A245" s="197">
        <v>13</v>
      </c>
      <c r="B245" s="184" t="s">
        <v>235</v>
      </c>
      <c r="C245" s="189" t="s">
        <v>385</v>
      </c>
      <c r="D245" s="184" t="s">
        <v>242</v>
      </c>
      <c r="E245" s="236">
        <v>0.9</v>
      </c>
      <c r="F245" s="295">
        <f>1.5/0.7457/E245</f>
        <v>2.2350364310938269</v>
      </c>
      <c r="G245" s="212" t="s">
        <v>223</v>
      </c>
      <c r="H245" s="219" t="s">
        <v>188</v>
      </c>
      <c r="I245" s="571" t="s">
        <v>252</v>
      </c>
      <c r="J245" s="572"/>
      <c r="K245" s="249" t="s">
        <v>188</v>
      </c>
    </row>
    <row r="246" spans="1:11">
      <c r="A246" s="199">
        <v>14</v>
      </c>
      <c r="B246" s="200"/>
      <c r="C246" s="201" t="s">
        <v>182</v>
      </c>
      <c r="D246" s="200"/>
      <c r="E246" s="233"/>
      <c r="F246" s="293"/>
      <c r="G246" s="245" t="s">
        <v>223</v>
      </c>
      <c r="H246" s="201"/>
      <c r="I246" s="596"/>
      <c r="J246" s="597"/>
      <c r="K246" s="338"/>
    </row>
    <row r="247" spans="1:11">
      <c r="A247" s="199">
        <v>15</v>
      </c>
      <c r="B247" s="200"/>
      <c r="C247" s="201" t="s">
        <v>182</v>
      </c>
      <c r="D247" s="200"/>
      <c r="E247" s="233"/>
      <c r="F247" s="293"/>
      <c r="G247" s="245" t="s">
        <v>227</v>
      </c>
      <c r="H247" s="201"/>
      <c r="I247" s="596"/>
      <c r="J247" s="597"/>
      <c r="K247" s="338"/>
    </row>
    <row r="248" spans="1:11">
      <c r="A248" s="199">
        <v>16</v>
      </c>
      <c r="B248" s="200"/>
      <c r="C248" s="201" t="s">
        <v>183</v>
      </c>
      <c r="D248" s="200"/>
      <c r="E248" s="233"/>
      <c r="F248" s="293"/>
      <c r="G248" s="245" t="s">
        <v>262</v>
      </c>
      <c r="H248" s="201"/>
      <c r="I248" s="596"/>
      <c r="J248" s="597"/>
      <c r="K248" s="338"/>
    </row>
    <row r="249" spans="1:11" ht="13.5" thickBot="1">
      <c r="A249" s="343">
        <v>17</v>
      </c>
      <c r="B249" s="261"/>
      <c r="C249" s="260" t="s">
        <v>183</v>
      </c>
      <c r="D249" s="261"/>
      <c r="E249" s="267"/>
      <c r="F249" s="297"/>
      <c r="G249" s="268" t="s">
        <v>262</v>
      </c>
      <c r="H249" s="260"/>
      <c r="I249" s="598"/>
      <c r="J249" s="599"/>
      <c r="K249" s="344"/>
    </row>
    <row r="250" spans="1:11" ht="20.25" thickBot="1">
      <c r="D250" s="526"/>
      <c r="E250" s="526"/>
      <c r="F250" s="526"/>
      <c r="G250" s="538" t="s">
        <v>194</v>
      </c>
      <c r="H250" s="539"/>
      <c r="I250" s="540"/>
      <c r="J250" s="406"/>
      <c r="K250" s="532" t="s">
        <v>188</v>
      </c>
    </row>
    <row r="251" spans="1:11" ht="13.5" thickTop="1">
      <c r="D251" s="525"/>
      <c r="E251" s="525"/>
      <c r="F251" s="525"/>
      <c r="G251" s="541" t="s">
        <v>195</v>
      </c>
      <c r="H251" s="542"/>
      <c r="I251" s="543"/>
      <c r="J251" s="529">
        <f>SUM(F233:F249)</f>
        <v>925.73967289000132</v>
      </c>
      <c r="K251" s="527"/>
    </row>
    <row r="252" spans="1:11" ht="15" customHeight="1" thickBot="1">
      <c r="D252" s="337"/>
      <c r="E252" s="337"/>
      <c r="F252" s="337"/>
      <c r="G252" s="535" t="s">
        <v>199</v>
      </c>
      <c r="H252" s="536"/>
      <c r="I252" s="537"/>
      <c r="J252" s="405" t="s">
        <v>200</v>
      </c>
      <c r="K252" s="528"/>
    </row>
    <row r="253" spans="1:11" ht="20.25" customHeight="1">
      <c r="A253" s="191"/>
      <c r="B253" s="191"/>
      <c r="C253" s="191"/>
      <c r="D253" s="191"/>
      <c r="E253" s="191"/>
      <c r="F253" s="534"/>
      <c r="G253" s="191"/>
      <c r="H253" s="191"/>
      <c r="I253" s="191"/>
      <c r="J253" s="191"/>
      <c r="K253" s="191"/>
    </row>
    <row r="254" spans="1:11">
      <c r="A254" s="191"/>
      <c r="B254" s="191"/>
      <c r="C254" s="191"/>
      <c r="D254" s="191"/>
      <c r="E254" s="191"/>
      <c r="F254" s="534"/>
      <c r="G254" s="191"/>
      <c r="H254" s="191"/>
      <c r="I254" s="191"/>
      <c r="J254" s="191"/>
      <c r="K254" s="191"/>
    </row>
    <row r="255" spans="1:11">
      <c r="A255" s="191"/>
      <c r="B255" s="191"/>
      <c r="C255" s="191"/>
      <c r="D255" s="191"/>
      <c r="E255" s="191"/>
      <c r="F255" s="534"/>
      <c r="G255" s="191"/>
      <c r="H255" s="191"/>
      <c r="I255" s="191"/>
      <c r="J255" s="191"/>
      <c r="K255" s="191"/>
    </row>
    <row r="256" spans="1:11">
      <c r="A256" s="191"/>
      <c r="B256" s="191"/>
      <c r="C256" s="191"/>
      <c r="D256" s="191"/>
      <c r="E256" s="191"/>
      <c r="F256" s="534"/>
      <c r="G256" s="191"/>
      <c r="H256" s="191"/>
      <c r="I256" s="191"/>
      <c r="J256" s="191"/>
      <c r="K256" s="191"/>
    </row>
    <row r="257" spans="1:11">
      <c r="A257" s="191"/>
      <c r="B257" s="191"/>
      <c r="C257" s="191"/>
      <c r="D257" s="191"/>
      <c r="E257" s="191"/>
      <c r="F257" s="534"/>
      <c r="G257" s="191"/>
      <c r="H257" s="191"/>
      <c r="I257" s="191"/>
      <c r="J257" s="191"/>
      <c r="K257" s="191"/>
    </row>
    <row r="258" spans="1:11">
      <c r="A258" s="191"/>
      <c r="B258" s="191"/>
      <c r="C258" s="191"/>
      <c r="D258" s="191"/>
      <c r="E258" s="191"/>
      <c r="F258" s="534"/>
      <c r="G258" s="191"/>
      <c r="H258" s="191"/>
      <c r="I258" s="191"/>
      <c r="J258" s="191"/>
      <c r="K258" s="191"/>
    </row>
    <row r="259" spans="1:11">
      <c r="A259" s="191"/>
      <c r="B259" s="191"/>
      <c r="C259" s="191"/>
      <c r="D259" s="191"/>
      <c r="E259" s="191"/>
      <c r="F259" s="534"/>
      <c r="G259" s="191"/>
      <c r="H259" s="191"/>
      <c r="I259" s="191"/>
      <c r="J259" s="191"/>
      <c r="K259" s="191"/>
    </row>
    <row r="260" spans="1:11">
      <c r="A260" s="191"/>
      <c r="B260" s="191"/>
      <c r="C260" s="191"/>
      <c r="D260" s="191"/>
      <c r="E260" s="191"/>
      <c r="F260" s="534"/>
      <c r="G260" s="191"/>
      <c r="H260" s="191"/>
      <c r="I260" s="191"/>
      <c r="J260" s="191"/>
      <c r="K260" s="191"/>
    </row>
    <row r="261" spans="1:11">
      <c r="A261" s="191"/>
      <c r="B261" s="191"/>
      <c r="C261" s="191"/>
      <c r="D261" s="191"/>
      <c r="E261" s="191"/>
      <c r="F261" s="534"/>
      <c r="G261" s="191"/>
      <c r="H261" s="191"/>
      <c r="I261" s="191"/>
      <c r="J261" s="191"/>
      <c r="K261" s="191"/>
    </row>
    <row r="262" spans="1:11">
      <c r="A262" s="191"/>
      <c r="B262" s="191"/>
      <c r="C262" s="191"/>
      <c r="D262" s="191"/>
      <c r="E262" s="191"/>
      <c r="F262" s="534"/>
      <c r="G262" s="191"/>
      <c r="H262" s="191"/>
      <c r="I262" s="191"/>
      <c r="J262" s="191"/>
      <c r="K262" s="191"/>
    </row>
    <row r="263" spans="1:11">
      <c r="A263" s="191"/>
      <c r="B263" s="191"/>
      <c r="C263" s="191"/>
      <c r="D263" s="191"/>
      <c r="E263" s="191"/>
      <c r="F263" s="534"/>
      <c r="G263" s="191"/>
      <c r="H263" s="191"/>
      <c r="I263" s="191"/>
      <c r="J263" s="191"/>
      <c r="K263" s="191"/>
    </row>
    <row r="264" spans="1:11">
      <c r="A264" s="191"/>
      <c r="B264" s="191"/>
      <c r="C264" s="191"/>
      <c r="D264" s="191"/>
      <c r="E264" s="191"/>
      <c r="F264" s="534"/>
      <c r="G264" s="191"/>
      <c r="H264" s="191"/>
      <c r="I264" s="191"/>
      <c r="J264" s="191"/>
      <c r="K264" s="191"/>
    </row>
    <row r="265" spans="1:11">
      <c r="A265" s="191"/>
      <c r="B265" s="191"/>
      <c r="C265" s="191"/>
      <c r="D265" s="191"/>
      <c r="E265" s="191"/>
      <c r="F265" s="534"/>
      <c r="G265" s="191"/>
      <c r="H265" s="191"/>
      <c r="I265" s="191"/>
      <c r="J265" s="191"/>
      <c r="K265" s="191"/>
    </row>
    <row r="266" spans="1:11">
      <c r="A266" s="191"/>
      <c r="B266" s="191"/>
      <c r="C266" s="191"/>
      <c r="D266" s="191"/>
      <c r="E266" s="191"/>
      <c r="F266" s="534"/>
      <c r="G266" s="191"/>
      <c r="H266" s="191"/>
      <c r="I266" s="191"/>
      <c r="J266" s="191"/>
      <c r="K266" s="191"/>
    </row>
    <row r="267" spans="1:11">
      <c r="A267" s="191"/>
      <c r="B267" s="191"/>
      <c r="C267" s="191"/>
      <c r="D267" s="191"/>
      <c r="E267" s="191"/>
      <c r="F267" s="534"/>
      <c r="G267" s="191"/>
      <c r="H267" s="191"/>
      <c r="I267" s="191"/>
      <c r="J267" s="191"/>
      <c r="K267" s="191"/>
    </row>
    <row r="268" spans="1:11">
      <c r="A268" s="191"/>
      <c r="B268" s="191"/>
      <c r="C268" s="191"/>
      <c r="D268" s="191"/>
      <c r="E268" s="191"/>
      <c r="F268" s="534"/>
      <c r="G268" s="191"/>
      <c r="H268" s="191"/>
      <c r="I268" s="191"/>
      <c r="J268" s="191"/>
      <c r="K268" s="191"/>
    </row>
    <row r="269" spans="1:11">
      <c r="A269" s="191"/>
      <c r="B269" s="191"/>
      <c r="C269" s="191"/>
      <c r="D269" s="191"/>
      <c r="E269" s="191"/>
      <c r="F269" s="534"/>
      <c r="G269" s="191"/>
      <c r="H269" s="191"/>
      <c r="I269" s="191"/>
      <c r="J269" s="191"/>
      <c r="K269" s="191"/>
    </row>
    <row r="270" spans="1:11">
      <c r="A270" s="191"/>
      <c r="B270" s="191"/>
      <c r="C270" s="191"/>
      <c r="D270" s="191"/>
      <c r="E270" s="191"/>
      <c r="F270" s="534"/>
      <c r="G270" s="191"/>
      <c r="H270" s="191"/>
      <c r="I270" s="191"/>
      <c r="J270" s="191"/>
      <c r="K270" s="191"/>
    </row>
    <row r="271" spans="1:11">
      <c r="A271" s="191"/>
      <c r="B271" s="191"/>
      <c r="C271" s="191"/>
      <c r="D271" s="191"/>
      <c r="E271" s="191"/>
      <c r="F271" s="534"/>
      <c r="G271" s="191"/>
      <c r="H271" s="191"/>
      <c r="I271" s="191"/>
      <c r="J271" s="191"/>
      <c r="K271" s="191"/>
    </row>
    <row r="272" spans="1:11">
      <c r="A272" s="191"/>
      <c r="B272" s="191"/>
      <c r="C272" s="191"/>
      <c r="D272" s="191"/>
      <c r="E272" s="191"/>
      <c r="F272" s="534"/>
      <c r="G272" s="191"/>
      <c r="H272" s="191"/>
      <c r="I272" s="191"/>
      <c r="J272" s="191"/>
      <c r="K272" s="191"/>
    </row>
    <row r="273" spans="1:11" ht="15.75" thickBot="1">
      <c r="H273" s="648"/>
      <c r="I273" s="648"/>
      <c r="J273" s="57"/>
    </row>
    <row r="274" spans="1:11" ht="16.5" thickBot="1">
      <c r="A274" s="623" t="s">
        <v>180</v>
      </c>
      <c r="B274" s="624"/>
      <c r="C274" s="190" t="s">
        <v>211</v>
      </c>
    </row>
    <row r="275" spans="1:11" ht="15">
      <c r="A275" s="549" t="s">
        <v>202</v>
      </c>
      <c r="B275" s="577" t="s">
        <v>165</v>
      </c>
      <c r="C275" s="595"/>
      <c r="D275" s="577" t="s">
        <v>191</v>
      </c>
      <c r="E275" s="553"/>
      <c r="F275" s="595"/>
      <c r="G275" s="577" t="s">
        <v>192</v>
      </c>
      <c r="H275" s="595"/>
      <c r="I275" s="577" t="s">
        <v>186</v>
      </c>
      <c r="J275" s="553"/>
      <c r="K275" s="595"/>
    </row>
    <row r="276" spans="1:11" ht="20.25" thickBot="1">
      <c r="A276" s="550"/>
      <c r="B276" s="193" t="s">
        <v>91</v>
      </c>
      <c r="C276" s="194" t="s">
        <v>164</v>
      </c>
      <c r="D276" s="193" t="s">
        <v>247</v>
      </c>
      <c r="E276" s="231" t="s">
        <v>265</v>
      </c>
      <c r="F276" s="195" t="s">
        <v>257</v>
      </c>
      <c r="G276" s="254" t="s">
        <v>187</v>
      </c>
      <c r="H276" s="218" t="s">
        <v>188</v>
      </c>
      <c r="I276" s="591" t="s">
        <v>187</v>
      </c>
      <c r="J276" s="592"/>
      <c r="K276" s="256" t="s">
        <v>188</v>
      </c>
    </row>
    <row r="277" spans="1:11" ht="16.5" thickTop="1">
      <c r="A277" s="202">
        <v>1</v>
      </c>
      <c r="B277" s="203"/>
      <c r="C277" s="204" t="s">
        <v>183</v>
      </c>
      <c r="D277" s="203"/>
      <c r="E277" s="232"/>
      <c r="F277" s="204"/>
      <c r="G277" s="244"/>
      <c r="H277" s="222"/>
      <c r="I277" s="339"/>
      <c r="J277" s="340"/>
      <c r="K277" s="246"/>
    </row>
    <row r="278" spans="1:11" ht="15.75">
      <c r="A278" s="199">
        <v>2</v>
      </c>
      <c r="B278" s="200"/>
      <c r="C278" s="201" t="s">
        <v>183</v>
      </c>
      <c r="D278" s="200"/>
      <c r="E278" s="233"/>
      <c r="F278" s="201"/>
      <c r="G278" s="245"/>
      <c r="H278" s="223"/>
      <c r="I278" s="341"/>
      <c r="J278" s="342"/>
      <c r="K278" s="247"/>
    </row>
    <row r="279" spans="1:11" ht="14.25">
      <c r="A279" s="199">
        <v>3</v>
      </c>
      <c r="B279" s="200"/>
      <c r="C279" s="201" t="s">
        <v>182</v>
      </c>
      <c r="D279" s="200"/>
      <c r="E279" s="233"/>
      <c r="F279" s="201"/>
      <c r="G279" s="245"/>
      <c r="H279" s="252"/>
      <c r="I279" s="341"/>
      <c r="J279" s="342"/>
      <c r="K279" s="248"/>
    </row>
    <row r="280" spans="1:11" ht="14.25">
      <c r="A280" s="199">
        <v>4</v>
      </c>
      <c r="B280" s="200"/>
      <c r="C280" s="201" t="s">
        <v>182</v>
      </c>
      <c r="D280" s="200"/>
      <c r="E280" s="233"/>
      <c r="F280" s="201"/>
      <c r="G280" s="245"/>
      <c r="H280" s="252"/>
      <c r="I280" s="341"/>
      <c r="J280" s="342"/>
      <c r="K280" s="248"/>
    </row>
    <row r="281" spans="1:11" ht="15.75">
      <c r="A281" s="555">
        <v>5</v>
      </c>
      <c r="B281" s="557" t="s">
        <v>2</v>
      </c>
      <c r="C281" s="559" t="s">
        <v>402</v>
      </c>
      <c r="D281" s="561">
        <f>'indiv. panels'!T9</f>
        <v>10600</v>
      </c>
      <c r="E281" s="563">
        <v>0.85</v>
      </c>
      <c r="F281" s="559">
        <f>D281/480/SQRT(3)/E281</f>
        <v>14.999786405416748</v>
      </c>
      <c r="G281" s="557" t="s">
        <v>393</v>
      </c>
      <c r="H281" s="565" t="s">
        <v>188</v>
      </c>
      <c r="I281" s="349" t="s">
        <v>277</v>
      </c>
      <c r="J281" s="350" t="s">
        <v>399</v>
      </c>
      <c r="K281" s="277" t="s">
        <v>188</v>
      </c>
    </row>
    <row r="282" spans="1:11" ht="15.75">
      <c r="A282" s="556"/>
      <c r="B282" s="558"/>
      <c r="C282" s="560"/>
      <c r="D282" s="562"/>
      <c r="E282" s="564"/>
      <c r="F282" s="560"/>
      <c r="G282" s="558"/>
      <c r="H282" s="566"/>
      <c r="I282" s="351" t="s">
        <v>278</v>
      </c>
      <c r="J282" s="352" t="s">
        <v>400</v>
      </c>
      <c r="K282" s="280"/>
    </row>
    <row r="283" spans="1:11" ht="15.75">
      <c r="A283" s="197">
        <v>6</v>
      </c>
      <c r="B283" s="184" t="s">
        <v>67</v>
      </c>
      <c r="C283" s="185" t="s">
        <v>268</v>
      </c>
      <c r="D283" s="226">
        <f>'indiv. panels'!T7</f>
        <v>55900</v>
      </c>
      <c r="E283" s="210">
        <v>0.85</v>
      </c>
      <c r="F283" s="185">
        <f>D283/480/SQRT(3)/E283</f>
        <v>79.102647175735498</v>
      </c>
      <c r="G283" s="212" t="s">
        <v>227</v>
      </c>
      <c r="H283" s="219" t="s">
        <v>188</v>
      </c>
      <c r="I283" s="575" t="s">
        <v>379</v>
      </c>
      <c r="J283" s="576"/>
      <c r="K283" s="249" t="s">
        <v>188</v>
      </c>
    </row>
    <row r="284" spans="1:11" ht="16.5" thickBot="1">
      <c r="A284" s="197">
        <v>7</v>
      </c>
      <c r="B284" s="184" t="s">
        <v>68</v>
      </c>
      <c r="C284" s="185" t="s">
        <v>268</v>
      </c>
      <c r="D284" s="226">
        <f>'indiv. panels'!T8</f>
        <v>42000</v>
      </c>
      <c r="E284" s="210">
        <v>0.85</v>
      </c>
      <c r="F284" s="185">
        <f>D284/480/SQRT(3)/E284</f>
        <v>59.433115945990892</v>
      </c>
      <c r="G284" s="212" t="s">
        <v>227</v>
      </c>
      <c r="H284" s="253" t="s">
        <v>188</v>
      </c>
      <c r="I284" s="575" t="s">
        <v>379</v>
      </c>
      <c r="J284" s="576"/>
      <c r="K284" s="249" t="s">
        <v>188</v>
      </c>
    </row>
    <row r="285" spans="1:11" ht="15.75" thickBot="1">
      <c r="A285" s="544" t="s">
        <v>194</v>
      </c>
      <c r="B285" s="546"/>
      <c r="C285" s="640" t="s">
        <v>187</v>
      </c>
      <c r="D285" s="641"/>
      <c r="E285" s="641"/>
      <c r="F285" s="642"/>
      <c r="G285" s="641" t="s">
        <v>190</v>
      </c>
      <c r="H285" s="641"/>
      <c r="I285" s="641"/>
      <c r="J285" s="641"/>
      <c r="K285" s="645"/>
    </row>
    <row r="286" spans="1:11" ht="16.5" thickTop="1">
      <c r="A286" s="541" t="s">
        <v>195</v>
      </c>
      <c r="B286" s="543"/>
      <c r="C286" s="651">
        <f>SUM(F278:F284)</f>
        <v>153.53554952714313</v>
      </c>
      <c r="D286" s="652"/>
      <c r="E286" s="652"/>
      <c r="F286" s="653"/>
      <c r="K286" s="198" t="s">
        <v>188</v>
      </c>
    </row>
    <row r="287" spans="1:11" ht="14.25">
      <c r="A287" s="634" t="s">
        <v>196</v>
      </c>
      <c r="B287" s="635"/>
      <c r="C287" s="571" t="s">
        <v>214</v>
      </c>
      <c r="D287" s="636"/>
      <c r="E287" s="636"/>
      <c r="F287" s="572"/>
      <c r="G287" s="649"/>
      <c r="H287" s="636"/>
      <c r="I287" s="636"/>
      <c r="J287" s="572"/>
      <c r="K287" s="258" t="s">
        <v>189</v>
      </c>
    </row>
    <row r="288" spans="1:11" ht="14.25">
      <c r="A288" s="634" t="s">
        <v>198</v>
      </c>
      <c r="B288" s="635"/>
      <c r="C288" s="571" t="s">
        <v>217</v>
      </c>
      <c r="D288" s="636"/>
      <c r="E288" s="636"/>
      <c r="F288" s="572"/>
      <c r="G288" s="649"/>
      <c r="H288" s="636"/>
      <c r="I288" s="636"/>
      <c r="J288" s="572"/>
      <c r="K288" s="258" t="s">
        <v>189</v>
      </c>
    </row>
    <row r="289" spans="1:11" ht="15.75">
      <c r="A289" s="634" t="s">
        <v>199</v>
      </c>
      <c r="B289" s="635"/>
      <c r="C289" s="571" t="s">
        <v>207</v>
      </c>
      <c r="D289" s="636"/>
      <c r="E289" s="636"/>
      <c r="F289" s="572"/>
      <c r="G289" s="649"/>
      <c r="H289" s="636"/>
      <c r="I289" s="636"/>
      <c r="J289" s="572"/>
      <c r="K289" s="249" t="s">
        <v>188</v>
      </c>
    </row>
    <row r="290" spans="1:11" ht="16.5" thickBot="1">
      <c r="A290" s="637" t="s">
        <v>314</v>
      </c>
      <c r="B290" s="638"/>
      <c r="C290" s="630"/>
      <c r="D290" s="639"/>
      <c r="E290" s="639"/>
      <c r="F290" s="631"/>
      <c r="G290" s="654"/>
      <c r="H290" s="655"/>
      <c r="I290" s="655"/>
      <c r="J290" s="656"/>
      <c r="K290" s="262" t="s">
        <v>188</v>
      </c>
    </row>
    <row r="291" spans="1:11" ht="13.5" thickBot="1">
      <c r="A291" s="182"/>
      <c r="B291" s="182"/>
      <c r="C291" s="192"/>
      <c r="D291" s="191"/>
      <c r="E291" s="191"/>
      <c r="F291" s="191"/>
      <c r="G291" s="191"/>
      <c r="H291" s="191"/>
      <c r="I291" s="191"/>
      <c r="J291" s="191"/>
      <c r="K291" s="191"/>
    </row>
    <row r="292" spans="1:11" ht="16.5" thickBot="1">
      <c r="A292" s="623" t="s">
        <v>181</v>
      </c>
      <c r="B292" s="624"/>
    </row>
    <row r="293" spans="1:11" ht="15">
      <c r="A293" s="549" t="s">
        <v>202</v>
      </c>
      <c r="B293" s="551" t="s">
        <v>165</v>
      </c>
      <c r="C293" s="551"/>
      <c r="D293" s="552" t="s">
        <v>191</v>
      </c>
      <c r="E293" s="553"/>
      <c r="F293" s="554"/>
      <c r="G293" s="618" t="s">
        <v>192</v>
      </c>
      <c r="H293" s="619"/>
      <c r="I293" s="577" t="s">
        <v>186</v>
      </c>
      <c r="J293" s="553"/>
      <c r="K293" s="595"/>
    </row>
    <row r="294" spans="1:11" ht="20.25" thickBot="1">
      <c r="A294" s="550"/>
      <c r="B294" s="193" t="s">
        <v>91</v>
      </c>
      <c r="C294" s="194" t="s">
        <v>164</v>
      </c>
      <c r="D294" s="193" t="s">
        <v>193</v>
      </c>
      <c r="E294" s="231" t="s">
        <v>265</v>
      </c>
      <c r="F294" s="195" t="s">
        <v>257</v>
      </c>
      <c r="G294" s="254" t="s">
        <v>187</v>
      </c>
      <c r="H294" s="218" t="s">
        <v>188</v>
      </c>
      <c r="I294" s="591" t="s">
        <v>187</v>
      </c>
      <c r="J294" s="592"/>
      <c r="K294" s="256" t="s">
        <v>188</v>
      </c>
    </row>
    <row r="295" spans="1:11" ht="16.5" thickTop="1">
      <c r="A295" s="202">
        <v>1</v>
      </c>
      <c r="B295" s="203"/>
      <c r="C295" s="204" t="s">
        <v>183</v>
      </c>
      <c r="D295" s="224"/>
      <c r="E295" s="232"/>
      <c r="F295" s="204"/>
      <c r="G295" s="244" t="s">
        <v>262</v>
      </c>
      <c r="H295" s="222"/>
      <c r="I295" s="339"/>
      <c r="J295" s="340"/>
      <c r="K295" s="246"/>
    </row>
    <row r="296" spans="1:11" ht="15.75">
      <c r="A296" s="199">
        <v>2</v>
      </c>
      <c r="B296" s="200"/>
      <c r="C296" s="201" t="s">
        <v>182</v>
      </c>
      <c r="D296" s="225"/>
      <c r="E296" s="233"/>
      <c r="F296" s="201"/>
      <c r="G296" s="245" t="s">
        <v>227</v>
      </c>
      <c r="H296" s="223"/>
      <c r="I296" s="341"/>
      <c r="J296" s="342"/>
      <c r="K296" s="247"/>
    </row>
    <row r="297" spans="1:11" ht="14.25">
      <c r="A297" s="197">
        <v>3</v>
      </c>
      <c r="B297" s="184"/>
      <c r="C297" s="189" t="s">
        <v>388</v>
      </c>
      <c r="D297" s="226"/>
      <c r="E297" s="210"/>
      <c r="F297" s="185"/>
      <c r="G297" s="212" t="s">
        <v>206</v>
      </c>
      <c r="H297" s="265"/>
      <c r="I297" s="573" t="s">
        <v>392</v>
      </c>
      <c r="J297" s="574"/>
      <c r="K297" s="258"/>
    </row>
    <row r="298" spans="1:11" ht="14.25">
      <c r="A298" s="197">
        <v>4</v>
      </c>
      <c r="B298" s="184"/>
      <c r="C298" s="189" t="s">
        <v>389</v>
      </c>
      <c r="D298" s="226"/>
      <c r="E298" s="210"/>
      <c r="F298" s="185"/>
      <c r="G298" s="212" t="s">
        <v>206</v>
      </c>
      <c r="H298" s="265"/>
      <c r="I298" s="573" t="s">
        <v>392</v>
      </c>
      <c r="J298" s="574"/>
      <c r="K298" s="258"/>
    </row>
    <row r="299" spans="1:11" ht="15.75">
      <c r="A299" s="197">
        <v>5</v>
      </c>
      <c r="B299" s="184"/>
      <c r="C299" s="189" t="s">
        <v>390</v>
      </c>
      <c r="D299" s="226"/>
      <c r="E299" s="210"/>
      <c r="F299" s="185"/>
      <c r="G299" s="212" t="s">
        <v>206</v>
      </c>
      <c r="H299" s="219"/>
      <c r="I299" s="573" t="s">
        <v>392</v>
      </c>
      <c r="J299" s="574"/>
      <c r="K299" s="249"/>
    </row>
    <row r="300" spans="1:11" ht="15.75">
      <c r="A300" s="199">
        <v>6</v>
      </c>
      <c r="B300" s="200"/>
      <c r="C300" s="201" t="s">
        <v>182</v>
      </c>
      <c r="D300" s="225"/>
      <c r="E300" s="233"/>
      <c r="F300" s="201"/>
      <c r="G300" s="245" t="s">
        <v>223</v>
      </c>
      <c r="H300" s="223"/>
      <c r="I300" s="341"/>
      <c r="J300" s="342"/>
      <c r="K300" s="247"/>
    </row>
    <row r="301" spans="1:11" ht="15.75">
      <c r="A301" s="199">
        <v>7</v>
      </c>
      <c r="B301" s="200"/>
      <c r="C301" s="201" t="s">
        <v>182</v>
      </c>
      <c r="D301" s="225"/>
      <c r="E301" s="233"/>
      <c r="F301" s="201"/>
      <c r="G301" s="245" t="s">
        <v>393</v>
      </c>
      <c r="H301" s="223"/>
      <c r="I301" s="341"/>
      <c r="J301" s="342"/>
      <c r="K301" s="247"/>
    </row>
    <row r="302" spans="1:11" ht="15.75">
      <c r="A302" s="555">
        <v>8</v>
      </c>
      <c r="B302" s="557" t="s">
        <v>179</v>
      </c>
      <c r="C302" s="567" t="s">
        <v>387</v>
      </c>
      <c r="D302" s="561">
        <f>C322*208*SQRT(3)*E302</f>
        <v>72600.000000000015</v>
      </c>
      <c r="E302" s="563">
        <v>0.85</v>
      </c>
      <c r="F302" s="569">
        <f>C322/E302</f>
        <v>278.91688543496696</v>
      </c>
      <c r="G302" s="557" t="s">
        <v>393</v>
      </c>
      <c r="H302" s="565" t="s">
        <v>188</v>
      </c>
      <c r="I302" s="349" t="s">
        <v>277</v>
      </c>
      <c r="J302" s="350" t="s">
        <v>399</v>
      </c>
      <c r="K302" s="277" t="s">
        <v>188</v>
      </c>
    </row>
    <row r="303" spans="1:11" ht="15.75">
      <c r="A303" s="556"/>
      <c r="B303" s="558"/>
      <c r="C303" s="568"/>
      <c r="D303" s="562"/>
      <c r="E303" s="564"/>
      <c r="F303" s="560"/>
      <c r="G303" s="558"/>
      <c r="H303" s="566"/>
      <c r="I303" s="351" t="s">
        <v>278</v>
      </c>
      <c r="J303" s="352" t="s">
        <v>400</v>
      </c>
      <c r="K303" s="280"/>
    </row>
    <row r="304" spans="1:11" ht="16.5" thickBot="1">
      <c r="A304" s="197">
        <v>9</v>
      </c>
      <c r="B304" s="184" t="s">
        <v>129</v>
      </c>
      <c r="C304" s="185" t="s">
        <v>391</v>
      </c>
      <c r="D304" s="184" t="s">
        <v>218</v>
      </c>
      <c r="E304" s="210">
        <v>0.9</v>
      </c>
      <c r="F304" s="185">
        <f>'mech loads'!I23</f>
        <v>93.126517962242758</v>
      </c>
      <c r="G304" s="212" t="s">
        <v>221</v>
      </c>
      <c r="H304" s="265" t="s">
        <v>189</v>
      </c>
      <c r="I304" s="632" t="s">
        <v>301</v>
      </c>
      <c r="J304" s="633"/>
      <c r="K304" s="249" t="s">
        <v>188</v>
      </c>
    </row>
    <row r="305" spans="1:11" ht="15.75" thickBot="1">
      <c r="A305" s="544" t="s">
        <v>194</v>
      </c>
      <c r="B305" s="546"/>
      <c r="C305" s="640" t="s">
        <v>187</v>
      </c>
      <c r="D305" s="641"/>
      <c r="E305" s="641"/>
      <c r="F305" s="642"/>
      <c r="G305" s="641" t="s">
        <v>190</v>
      </c>
      <c r="H305" s="641"/>
      <c r="I305" s="641"/>
      <c r="J305" s="641"/>
      <c r="K305" s="645"/>
    </row>
    <row r="306" spans="1:11" ht="16.5" thickTop="1">
      <c r="A306" s="646" t="s">
        <v>195</v>
      </c>
      <c r="B306" s="647"/>
      <c r="C306" s="657">
        <f>SUM(F295:F304)</f>
        <v>372.04340339720972</v>
      </c>
      <c r="D306" s="658"/>
      <c r="E306" s="658"/>
      <c r="F306" s="594"/>
      <c r="G306" s="22"/>
      <c r="H306" s="22"/>
      <c r="I306" s="22"/>
      <c r="J306" s="22"/>
      <c r="K306" s="198" t="s">
        <v>188</v>
      </c>
    </row>
    <row r="307" spans="1:11" ht="14.25">
      <c r="A307" s="634" t="s">
        <v>196</v>
      </c>
      <c r="B307" s="635"/>
      <c r="C307" s="571" t="s">
        <v>216</v>
      </c>
      <c r="D307" s="636"/>
      <c r="E307" s="636"/>
      <c r="F307" s="572"/>
      <c r="G307" s="649"/>
      <c r="H307" s="636"/>
      <c r="I307" s="636"/>
      <c r="J307" s="572"/>
      <c r="K307" s="258" t="s">
        <v>189</v>
      </c>
    </row>
    <row r="308" spans="1:11" ht="15.75">
      <c r="A308" s="634" t="s">
        <v>198</v>
      </c>
      <c r="B308" s="635"/>
      <c r="C308" s="571"/>
      <c r="D308" s="636"/>
      <c r="E308" s="636"/>
      <c r="F308" s="572"/>
      <c r="G308" s="649"/>
      <c r="H308" s="636"/>
      <c r="I308" s="636"/>
      <c r="J308" s="572"/>
      <c r="K308" s="249" t="s">
        <v>188</v>
      </c>
    </row>
    <row r="309" spans="1:11" ht="14.25">
      <c r="A309" s="634" t="s">
        <v>199</v>
      </c>
      <c r="B309" s="635"/>
      <c r="C309" s="571"/>
      <c r="D309" s="636"/>
      <c r="E309" s="636"/>
      <c r="F309" s="572"/>
      <c r="G309" s="649"/>
      <c r="H309" s="636"/>
      <c r="I309" s="636"/>
      <c r="J309" s="572"/>
      <c r="K309" s="258" t="s">
        <v>189</v>
      </c>
    </row>
    <row r="310" spans="1:11" ht="16.5" thickBot="1">
      <c r="A310" s="637" t="s">
        <v>197</v>
      </c>
      <c r="B310" s="638"/>
      <c r="C310" s="630" t="s">
        <v>210</v>
      </c>
      <c r="D310" s="639"/>
      <c r="E310" s="639"/>
      <c r="F310" s="631"/>
      <c r="G310" s="650"/>
      <c r="H310" s="639"/>
      <c r="I310" s="639"/>
      <c r="J310" s="631"/>
      <c r="K310" s="262" t="s">
        <v>188</v>
      </c>
    </row>
    <row r="311" spans="1:11" ht="13.5" thickBot="1"/>
    <row r="312" spans="1:11" ht="16.5" thickBot="1">
      <c r="A312" s="623" t="s">
        <v>179</v>
      </c>
      <c r="B312" s="624"/>
      <c r="C312" s="547" t="s">
        <v>405</v>
      </c>
      <c r="D312" s="548"/>
    </row>
    <row r="313" spans="1:11" ht="15">
      <c r="A313" s="549" t="s">
        <v>202</v>
      </c>
      <c r="B313" s="551" t="s">
        <v>165</v>
      </c>
      <c r="C313" s="551"/>
      <c r="D313" s="552" t="s">
        <v>191</v>
      </c>
      <c r="E313" s="553"/>
      <c r="F313" s="554"/>
      <c r="G313" s="618" t="s">
        <v>192</v>
      </c>
      <c r="H313" s="619"/>
      <c r="I313" s="577" t="s">
        <v>186</v>
      </c>
      <c r="J313" s="553"/>
      <c r="K313" s="595"/>
    </row>
    <row r="314" spans="1:11" ht="20.25" thickBot="1">
      <c r="A314" s="550"/>
      <c r="B314" s="193" t="s">
        <v>91</v>
      </c>
      <c r="C314" s="194" t="s">
        <v>164</v>
      </c>
      <c r="D314" s="193" t="s">
        <v>247</v>
      </c>
      <c r="E314" s="231" t="s">
        <v>265</v>
      </c>
      <c r="F314" s="195" t="s">
        <v>257</v>
      </c>
      <c r="G314" s="254" t="s">
        <v>187</v>
      </c>
      <c r="H314" s="218" t="s">
        <v>188</v>
      </c>
      <c r="I314" s="591" t="s">
        <v>187</v>
      </c>
      <c r="J314" s="592"/>
      <c r="K314" s="256" t="s">
        <v>188</v>
      </c>
    </row>
    <row r="315" spans="1:11" ht="16.5" thickTop="1">
      <c r="A315" s="202">
        <v>1</v>
      </c>
      <c r="B315" s="203"/>
      <c r="C315" s="204" t="s">
        <v>183</v>
      </c>
      <c r="D315" s="224"/>
      <c r="E315" s="232"/>
      <c r="F315" s="204"/>
      <c r="G315" s="244"/>
      <c r="H315" s="222"/>
      <c r="I315" s="339"/>
      <c r="J315" s="340"/>
      <c r="K315" s="246"/>
    </row>
    <row r="316" spans="1:11" ht="15.75">
      <c r="A316" s="199">
        <v>2</v>
      </c>
      <c r="B316" s="200"/>
      <c r="C316" s="201" t="s">
        <v>183</v>
      </c>
      <c r="D316" s="225"/>
      <c r="E316" s="233"/>
      <c r="F316" s="201"/>
      <c r="G316" s="245"/>
      <c r="H316" s="223"/>
      <c r="I316" s="341"/>
      <c r="J316" s="342"/>
      <c r="K316" s="247"/>
    </row>
    <row r="317" spans="1:11" ht="14.25">
      <c r="A317" s="199">
        <v>3</v>
      </c>
      <c r="B317" s="200"/>
      <c r="C317" s="201" t="s">
        <v>182</v>
      </c>
      <c r="D317" s="225"/>
      <c r="E317" s="233"/>
      <c r="F317" s="201"/>
      <c r="G317" s="245"/>
      <c r="H317" s="252"/>
      <c r="I317" s="341"/>
      <c r="J317" s="342"/>
      <c r="K317" s="248"/>
    </row>
    <row r="318" spans="1:11" ht="14.25">
      <c r="A318" s="197">
        <v>4</v>
      </c>
      <c r="B318" s="184" t="s">
        <v>66</v>
      </c>
      <c r="C318" s="185" t="s">
        <v>267</v>
      </c>
      <c r="D318" s="226">
        <f>'indiv. panels'!T6</f>
        <v>16000</v>
      </c>
      <c r="E318" s="210">
        <v>0.85</v>
      </c>
      <c r="F318" s="209">
        <f>D318/208/SQRT(3)/E318</f>
        <v>52.248893139332651</v>
      </c>
      <c r="G318" s="212"/>
      <c r="H318" s="265" t="s">
        <v>189</v>
      </c>
      <c r="I318" s="571" t="s">
        <v>376</v>
      </c>
      <c r="J318" s="572"/>
      <c r="K318" s="258" t="s">
        <v>189</v>
      </c>
    </row>
    <row r="319" spans="1:11" ht="15.75">
      <c r="A319" s="197">
        <v>5</v>
      </c>
      <c r="B319" s="184" t="s">
        <v>65</v>
      </c>
      <c r="C319" s="185" t="s">
        <v>267</v>
      </c>
      <c r="D319" s="226">
        <f>'indiv. panels'!T5</f>
        <v>29000</v>
      </c>
      <c r="E319" s="210">
        <v>0.85</v>
      </c>
      <c r="F319" s="209">
        <f t="shared" ref="F319:F320" si="15">D319/208/SQRT(3)/E319</f>
        <v>94.701118815040445</v>
      </c>
      <c r="G319" s="212"/>
      <c r="H319" s="219" t="s">
        <v>188</v>
      </c>
      <c r="I319" s="575" t="s">
        <v>379</v>
      </c>
      <c r="J319" s="576"/>
      <c r="K319" s="249" t="s">
        <v>188</v>
      </c>
    </row>
    <row r="320" spans="1:11" ht="16.5" thickBot="1">
      <c r="A320" s="197">
        <v>6</v>
      </c>
      <c r="B320" s="184" t="s">
        <v>17</v>
      </c>
      <c r="C320" s="185" t="s">
        <v>267</v>
      </c>
      <c r="D320" s="226">
        <f>'indiv. panels'!T4</f>
        <v>27600</v>
      </c>
      <c r="E320" s="210">
        <v>0.85</v>
      </c>
      <c r="F320" s="185">
        <f t="shared" si="15"/>
        <v>90.12934066534882</v>
      </c>
      <c r="G320" s="212"/>
      <c r="H320" s="253" t="s">
        <v>188</v>
      </c>
      <c r="I320" s="575" t="s">
        <v>379</v>
      </c>
      <c r="J320" s="576"/>
      <c r="K320" s="249" t="s">
        <v>188</v>
      </c>
    </row>
    <row r="321" spans="1:11" ht="15.75" thickBot="1">
      <c r="A321" s="544"/>
      <c r="B321" s="546"/>
      <c r="C321" s="397"/>
      <c r="D321" s="398"/>
      <c r="E321" s="398"/>
      <c r="F321" s="399"/>
      <c r="G321" s="641" t="s">
        <v>190</v>
      </c>
      <c r="H321" s="641"/>
      <c r="I321" s="641"/>
      <c r="J321" s="641"/>
      <c r="K321" s="645"/>
    </row>
    <row r="322" spans="1:11" ht="16.5" thickTop="1">
      <c r="A322" s="541" t="s">
        <v>96</v>
      </c>
      <c r="B322" s="543"/>
      <c r="C322" s="402">
        <f>SUM(F315:F320)</f>
        <v>237.07935261972193</v>
      </c>
      <c r="D322" s="230"/>
      <c r="E322" s="230"/>
      <c r="F322" s="401"/>
      <c r="G322" s="22"/>
      <c r="H322" s="22"/>
      <c r="I322" s="22"/>
      <c r="J322" s="22"/>
      <c r="K322" s="198" t="s">
        <v>188</v>
      </c>
    </row>
    <row r="323" spans="1:11" ht="14.25">
      <c r="A323" s="634" t="s">
        <v>406</v>
      </c>
      <c r="B323" s="635"/>
      <c r="C323" s="299" t="s">
        <v>215</v>
      </c>
      <c r="D323" s="229"/>
      <c r="E323" s="229"/>
      <c r="F323" s="300"/>
      <c r="G323" s="649"/>
      <c r="H323" s="636"/>
      <c r="I323" s="636"/>
      <c r="J323" s="572"/>
      <c r="K323" s="258" t="s">
        <v>189</v>
      </c>
    </row>
    <row r="324" spans="1:11" ht="14.25">
      <c r="A324" s="634" t="s">
        <v>407</v>
      </c>
      <c r="B324" s="635"/>
      <c r="C324" s="299" t="s">
        <v>394</v>
      </c>
      <c r="D324" s="229"/>
      <c r="E324" s="229"/>
      <c r="F324" s="300"/>
      <c r="G324" s="649"/>
      <c r="H324" s="636"/>
      <c r="I324" s="636"/>
      <c r="J324" s="572"/>
      <c r="K324" s="258" t="s">
        <v>189</v>
      </c>
    </row>
    <row r="325" spans="1:11" ht="16.5" thickBot="1">
      <c r="A325" s="637" t="s">
        <v>197</v>
      </c>
      <c r="B325" s="638"/>
      <c r="C325" s="400"/>
      <c r="D325" s="228"/>
      <c r="E325" s="228"/>
      <c r="F325" s="327"/>
      <c r="G325" s="650"/>
      <c r="H325" s="639"/>
      <c r="I325" s="639"/>
      <c r="J325" s="631"/>
      <c r="K325" s="262" t="s">
        <v>188</v>
      </c>
    </row>
  </sheetData>
  <mergeCells count="441">
    <mergeCell ref="G131:I131"/>
    <mergeCell ref="G132:I132"/>
    <mergeCell ref="G133:I133"/>
    <mergeCell ref="C306:F306"/>
    <mergeCell ref="G307:J307"/>
    <mergeCell ref="G308:J308"/>
    <mergeCell ref="G309:J309"/>
    <mergeCell ref="G310:J310"/>
    <mergeCell ref="G302:G303"/>
    <mergeCell ref="H302:H303"/>
    <mergeCell ref="I304:J304"/>
    <mergeCell ref="I297:J297"/>
    <mergeCell ref="I298:J298"/>
    <mergeCell ref="I299:J299"/>
    <mergeCell ref="H273:I273"/>
    <mergeCell ref="A206:B206"/>
    <mergeCell ref="A292:B292"/>
    <mergeCell ref="A293:A294"/>
    <mergeCell ref="B293:C293"/>
    <mergeCell ref="G323:J323"/>
    <mergeCell ref="G324:J324"/>
    <mergeCell ref="G325:J325"/>
    <mergeCell ref="C286:F286"/>
    <mergeCell ref="G287:J287"/>
    <mergeCell ref="G288:J288"/>
    <mergeCell ref="G289:J289"/>
    <mergeCell ref="G290:J290"/>
    <mergeCell ref="A325:B325"/>
    <mergeCell ref="I314:J314"/>
    <mergeCell ref="I318:J318"/>
    <mergeCell ref="I319:J319"/>
    <mergeCell ref="I320:J320"/>
    <mergeCell ref="I313:K313"/>
    <mergeCell ref="D293:F293"/>
    <mergeCell ref="G293:H293"/>
    <mergeCell ref="A309:B309"/>
    <mergeCell ref="C309:F309"/>
    <mergeCell ref="A310:B310"/>
    <mergeCell ref="C310:F310"/>
    <mergeCell ref="A307:B307"/>
    <mergeCell ref="C307:F307"/>
    <mergeCell ref="A308:B308"/>
    <mergeCell ref="C308:F308"/>
    <mergeCell ref="A305:B305"/>
    <mergeCell ref="C305:F305"/>
    <mergeCell ref="G305:K305"/>
    <mergeCell ref="A306:B306"/>
    <mergeCell ref="G193:H193"/>
    <mergeCell ref="I194:J194"/>
    <mergeCell ref="I195:J195"/>
    <mergeCell ref="I196:J196"/>
    <mergeCell ref="I197:J197"/>
    <mergeCell ref="I198:J198"/>
    <mergeCell ref="I199:J199"/>
    <mergeCell ref="I200:J200"/>
    <mergeCell ref="I201:J201"/>
    <mergeCell ref="I193:K193"/>
    <mergeCell ref="G231:H231"/>
    <mergeCell ref="A230:B230"/>
    <mergeCell ref="I107:J107"/>
    <mergeCell ref="I108:J108"/>
    <mergeCell ref="I109:J109"/>
    <mergeCell ref="I110:J110"/>
    <mergeCell ref="A134:B134"/>
    <mergeCell ref="G135:H135"/>
    <mergeCell ref="I139:J139"/>
    <mergeCell ref="I140:J140"/>
    <mergeCell ref="I141:J141"/>
    <mergeCell ref="I142:J142"/>
    <mergeCell ref="I143:J143"/>
    <mergeCell ref="I144:J144"/>
    <mergeCell ref="A163:B163"/>
    <mergeCell ref="A164:A165"/>
    <mergeCell ref="B164:C164"/>
    <mergeCell ref="D164:F164"/>
    <mergeCell ref="G164:H164"/>
    <mergeCell ref="I165:J165"/>
    <mergeCell ref="A192:B192"/>
    <mergeCell ref="A193:A194"/>
    <mergeCell ref="B193:C193"/>
    <mergeCell ref="D193:F193"/>
    <mergeCell ref="I21:K21"/>
    <mergeCell ref="I22:J22"/>
    <mergeCell ref="A59:B59"/>
    <mergeCell ref="A60:A61"/>
    <mergeCell ref="B60:C60"/>
    <mergeCell ref="D60:F60"/>
    <mergeCell ref="G60:H60"/>
    <mergeCell ref="A101:B101"/>
    <mergeCell ref="A102:A103"/>
    <mergeCell ref="B102:C102"/>
    <mergeCell ref="D102:F102"/>
    <mergeCell ref="G102:H102"/>
    <mergeCell ref="G58:I58"/>
    <mergeCell ref="G98:I98"/>
    <mergeCell ref="G99:I99"/>
    <mergeCell ref="G100:I100"/>
    <mergeCell ref="A324:B324"/>
    <mergeCell ref="A322:B322"/>
    <mergeCell ref="A323:B323"/>
    <mergeCell ref="G321:K321"/>
    <mergeCell ref="A312:B312"/>
    <mergeCell ref="A313:A314"/>
    <mergeCell ref="B313:C313"/>
    <mergeCell ref="D313:F313"/>
    <mergeCell ref="G313:H313"/>
    <mergeCell ref="A321:B321"/>
    <mergeCell ref="A274:B274"/>
    <mergeCell ref="A275:A276"/>
    <mergeCell ref="B275:C275"/>
    <mergeCell ref="D275:F275"/>
    <mergeCell ref="G275:H275"/>
    <mergeCell ref="I276:J276"/>
    <mergeCell ref="A289:B289"/>
    <mergeCell ref="C289:F289"/>
    <mergeCell ref="A290:B290"/>
    <mergeCell ref="C290:F290"/>
    <mergeCell ref="A287:B287"/>
    <mergeCell ref="C287:F287"/>
    <mergeCell ref="A288:B288"/>
    <mergeCell ref="C288:F288"/>
    <mergeCell ref="C285:F285"/>
    <mergeCell ref="G285:K285"/>
    <mergeCell ref="A286:B286"/>
    <mergeCell ref="A285:B285"/>
    <mergeCell ref="I158:J158"/>
    <mergeCell ref="I159:J159"/>
    <mergeCell ref="I149:K149"/>
    <mergeCell ref="G160:I160"/>
    <mergeCell ref="G161:I161"/>
    <mergeCell ref="A177:B177"/>
    <mergeCell ref="A178:A179"/>
    <mergeCell ref="B178:C178"/>
    <mergeCell ref="D178:F178"/>
    <mergeCell ref="G178:H178"/>
    <mergeCell ref="I178:K178"/>
    <mergeCell ref="A148:B148"/>
    <mergeCell ref="A149:A150"/>
    <mergeCell ref="B149:C149"/>
    <mergeCell ref="D149:F149"/>
    <mergeCell ref="G149:H149"/>
    <mergeCell ref="I153:J153"/>
    <mergeCell ref="I154:J154"/>
    <mergeCell ref="I155:J155"/>
    <mergeCell ref="I156:J156"/>
    <mergeCell ref="A119:B119"/>
    <mergeCell ref="A120:A121"/>
    <mergeCell ref="B120:C120"/>
    <mergeCell ref="D120:F120"/>
    <mergeCell ref="G120:H120"/>
    <mergeCell ref="I121:J121"/>
    <mergeCell ref="I122:J122"/>
    <mergeCell ref="I123:J123"/>
    <mergeCell ref="I124:J124"/>
    <mergeCell ref="I120:K120"/>
    <mergeCell ref="A1:B1"/>
    <mergeCell ref="A40:B40"/>
    <mergeCell ref="A41:A42"/>
    <mergeCell ref="B41:C41"/>
    <mergeCell ref="A79:B79"/>
    <mergeCell ref="A80:A81"/>
    <mergeCell ref="B80:C80"/>
    <mergeCell ref="D80:F80"/>
    <mergeCell ref="G80:H80"/>
    <mergeCell ref="A20:B20"/>
    <mergeCell ref="G21:H21"/>
    <mergeCell ref="I12:J12"/>
    <mergeCell ref="G15:G16"/>
    <mergeCell ref="H15:H16"/>
    <mergeCell ref="H13:H14"/>
    <mergeCell ref="G13:G14"/>
    <mergeCell ref="A231:A232"/>
    <mergeCell ref="B231:C231"/>
    <mergeCell ref="D231:F231"/>
    <mergeCell ref="A135:A136"/>
    <mergeCell ref="B135:C135"/>
    <mergeCell ref="D135:F135"/>
    <mergeCell ref="G41:H41"/>
    <mergeCell ref="D41:F41"/>
    <mergeCell ref="J80:K80"/>
    <mergeCell ref="I150:J150"/>
    <mergeCell ref="I151:J151"/>
    <mergeCell ref="I152:J152"/>
    <mergeCell ref="A207:A208"/>
    <mergeCell ref="B207:C207"/>
    <mergeCell ref="D207:F207"/>
    <mergeCell ref="G207:H207"/>
    <mergeCell ref="I207:K207"/>
    <mergeCell ref="I179:J179"/>
    <mergeCell ref="I180:J180"/>
    <mergeCell ref="B8:B9"/>
    <mergeCell ref="A8:A9"/>
    <mergeCell ref="I2:K2"/>
    <mergeCell ref="I3:J3"/>
    <mergeCell ref="I4:J4"/>
    <mergeCell ref="I5:J5"/>
    <mergeCell ref="I6:J6"/>
    <mergeCell ref="I7:J7"/>
    <mergeCell ref="A2:A3"/>
    <mergeCell ref="B2:C2"/>
    <mergeCell ref="D2:F2"/>
    <mergeCell ref="G2:H2"/>
    <mergeCell ref="H8:H9"/>
    <mergeCell ref="G8:G9"/>
    <mergeCell ref="F8:F9"/>
    <mergeCell ref="E8:E9"/>
    <mergeCell ref="D8:D9"/>
    <mergeCell ref="C8:C9"/>
    <mergeCell ref="A15:A16"/>
    <mergeCell ref="B13:B14"/>
    <mergeCell ref="B15:B16"/>
    <mergeCell ref="C13:C14"/>
    <mergeCell ref="C15:C16"/>
    <mergeCell ref="D15:D16"/>
    <mergeCell ref="E15:E16"/>
    <mergeCell ref="F15:F16"/>
    <mergeCell ref="F13:F14"/>
    <mergeCell ref="E13:E14"/>
    <mergeCell ref="D13:D14"/>
    <mergeCell ref="A10:A11"/>
    <mergeCell ref="B10:B11"/>
    <mergeCell ref="C10:C11"/>
    <mergeCell ref="D10:D11"/>
    <mergeCell ref="E10:E11"/>
    <mergeCell ref="F10:F11"/>
    <mergeCell ref="G10:G11"/>
    <mergeCell ref="H10:H11"/>
    <mergeCell ref="A13:A14"/>
    <mergeCell ref="I23:J23"/>
    <mergeCell ref="I24:J24"/>
    <mergeCell ref="I33:J33"/>
    <mergeCell ref="I34:J34"/>
    <mergeCell ref="I35:J35"/>
    <mergeCell ref="I36:J36"/>
    <mergeCell ref="I32:J32"/>
    <mergeCell ref="A25:A26"/>
    <mergeCell ref="B25:B26"/>
    <mergeCell ref="C25:C26"/>
    <mergeCell ref="D25:D26"/>
    <mergeCell ref="E25:E26"/>
    <mergeCell ref="F25:F26"/>
    <mergeCell ref="G25:G26"/>
    <mergeCell ref="H25:H26"/>
    <mergeCell ref="A27:A28"/>
    <mergeCell ref="B27:B28"/>
    <mergeCell ref="C27:C28"/>
    <mergeCell ref="D27:D28"/>
    <mergeCell ref="E27:E28"/>
    <mergeCell ref="F27:F28"/>
    <mergeCell ref="G27:G28"/>
    <mergeCell ref="H27:H28"/>
    <mergeCell ref="I31:J31"/>
    <mergeCell ref="I62:J62"/>
    <mergeCell ref="H29:H30"/>
    <mergeCell ref="G29:G30"/>
    <mergeCell ref="F29:F30"/>
    <mergeCell ref="E29:E30"/>
    <mergeCell ref="D29:D30"/>
    <mergeCell ref="C29:C30"/>
    <mergeCell ref="B29:B30"/>
    <mergeCell ref="A29:A30"/>
    <mergeCell ref="I61:J61"/>
    <mergeCell ref="I60:K60"/>
    <mergeCell ref="I164:K164"/>
    <mergeCell ref="I111:J111"/>
    <mergeCell ref="I113:J113"/>
    <mergeCell ref="I114:J114"/>
    <mergeCell ref="I115:J115"/>
    <mergeCell ref="I102:K102"/>
    <mergeCell ref="I136:J136"/>
    <mergeCell ref="I135:K135"/>
    <mergeCell ref="I71:J71"/>
    <mergeCell ref="I72:J72"/>
    <mergeCell ref="I73:J73"/>
    <mergeCell ref="I74:J74"/>
    <mergeCell ref="I75:J75"/>
    <mergeCell ref="I103:J103"/>
    <mergeCell ref="I104:J104"/>
    <mergeCell ref="I105:J105"/>
    <mergeCell ref="I106:J106"/>
    <mergeCell ref="I125:J125"/>
    <mergeCell ref="I126:J126"/>
    <mergeCell ref="I127:J127"/>
    <mergeCell ref="I128:J128"/>
    <mergeCell ref="I129:J129"/>
    <mergeCell ref="I130:J130"/>
    <mergeCell ref="I157:J157"/>
    <mergeCell ref="I238:J238"/>
    <mergeCell ref="I239:J239"/>
    <mergeCell ref="I240:J240"/>
    <mergeCell ref="I166:J166"/>
    <mergeCell ref="I167:J167"/>
    <mergeCell ref="I168:J168"/>
    <mergeCell ref="I169:J169"/>
    <mergeCell ref="I170:J170"/>
    <mergeCell ref="I171:J171"/>
    <mergeCell ref="I172:J172"/>
    <mergeCell ref="I173:J173"/>
    <mergeCell ref="I181:J181"/>
    <mergeCell ref="I182:J182"/>
    <mergeCell ref="I183:J183"/>
    <mergeCell ref="I184:J184"/>
    <mergeCell ref="I185:J185"/>
    <mergeCell ref="I186:J186"/>
    <mergeCell ref="I187:J187"/>
    <mergeCell ref="I188:J188"/>
    <mergeCell ref="I202:J202"/>
    <mergeCell ref="G205:I205"/>
    <mergeCell ref="I224:J224"/>
    <mergeCell ref="I225:J225"/>
    <mergeCell ref="I226:J226"/>
    <mergeCell ref="I231:K231"/>
    <mergeCell ref="I294:J294"/>
    <mergeCell ref="I293:K293"/>
    <mergeCell ref="G250:I250"/>
    <mergeCell ref="G251:I251"/>
    <mergeCell ref="G252:I252"/>
    <mergeCell ref="I241:J241"/>
    <mergeCell ref="I242:J242"/>
    <mergeCell ref="I243:J243"/>
    <mergeCell ref="I244:J244"/>
    <mergeCell ref="I245:J245"/>
    <mergeCell ref="I246:J246"/>
    <mergeCell ref="I247:J247"/>
    <mergeCell ref="I248:J248"/>
    <mergeCell ref="I249:J249"/>
    <mergeCell ref="I232:J232"/>
    <mergeCell ref="I233:J233"/>
    <mergeCell ref="I234:J234"/>
    <mergeCell ref="I235:J235"/>
    <mergeCell ref="I236:J236"/>
    <mergeCell ref="I237:J237"/>
    <mergeCell ref="I42:J42"/>
    <mergeCell ref="I43:J43"/>
    <mergeCell ref="I44:J44"/>
    <mergeCell ref="I45:J45"/>
    <mergeCell ref="I46:J46"/>
    <mergeCell ref="I283:J283"/>
    <mergeCell ref="I284:J284"/>
    <mergeCell ref="I275:K275"/>
    <mergeCell ref="I208:J208"/>
    <mergeCell ref="I209:J209"/>
    <mergeCell ref="I210:J210"/>
    <mergeCell ref="I211:J211"/>
    <mergeCell ref="I212:J212"/>
    <mergeCell ref="I213:J213"/>
    <mergeCell ref="I214:J214"/>
    <mergeCell ref="I215:J215"/>
    <mergeCell ref="I216:J216"/>
    <mergeCell ref="I217:J217"/>
    <mergeCell ref="I218:J218"/>
    <mergeCell ref="I219:J219"/>
    <mergeCell ref="I220:J220"/>
    <mergeCell ref="I221:J221"/>
    <mergeCell ref="I222:J222"/>
    <mergeCell ref="I223:J223"/>
    <mergeCell ref="I51:J51"/>
    <mergeCell ref="I52:J52"/>
    <mergeCell ref="I53:J53"/>
    <mergeCell ref="I54:J54"/>
    <mergeCell ref="I55:J55"/>
    <mergeCell ref="A47:A48"/>
    <mergeCell ref="B47:B48"/>
    <mergeCell ref="C47:C48"/>
    <mergeCell ref="D47:D48"/>
    <mergeCell ref="E47:E48"/>
    <mergeCell ref="F47:F48"/>
    <mergeCell ref="G47:G48"/>
    <mergeCell ref="H47:H48"/>
    <mergeCell ref="G17:I17"/>
    <mergeCell ref="G18:I18"/>
    <mergeCell ref="G19:I19"/>
    <mergeCell ref="G56:I56"/>
    <mergeCell ref="I63:J63"/>
    <mergeCell ref="I64:J64"/>
    <mergeCell ref="I65:J65"/>
    <mergeCell ref="I66:J66"/>
    <mergeCell ref="I93:J93"/>
    <mergeCell ref="I67:J67"/>
    <mergeCell ref="I68:J68"/>
    <mergeCell ref="I69:J69"/>
    <mergeCell ref="I70:J70"/>
    <mergeCell ref="I86:J86"/>
    <mergeCell ref="I87:J87"/>
    <mergeCell ref="I88:J88"/>
    <mergeCell ref="I89:J89"/>
    <mergeCell ref="I90:J90"/>
    <mergeCell ref="I91:J91"/>
    <mergeCell ref="I92:J92"/>
    <mergeCell ref="G57:I57"/>
    <mergeCell ref="I41:K41"/>
    <mergeCell ref="I49:J49"/>
    <mergeCell ref="I50:J50"/>
    <mergeCell ref="G203:I203"/>
    <mergeCell ref="G204:I204"/>
    <mergeCell ref="C312:D312"/>
    <mergeCell ref="G227:I227"/>
    <mergeCell ref="G228:I228"/>
    <mergeCell ref="G229:I229"/>
    <mergeCell ref="A21:A22"/>
    <mergeCell ref="B21:C21"/>
    <mergeCell ref="D21:F21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A302:A303"/>
    <mergeCell ref="B302:B303"/>
    <mergeCell ref="C302:C303"/>
    <mergeCell ref="D302:D303"/>
    <mergeCell ref="E302:E303"/>
    <mergeCell ref="F302:F303"/>
    <mergeCell ref="C206:D206"/>
    <mergeCell ref="G162:I162"/>
    <mergeCell ref="G189:I189"/>
    <mergeCell ref="G190:I190"/>
    <mergeCell ref="G191:I191"/>
    <mergeCell ref="G37:I37"/>
    <mergeCell ref="G38:I38"/>
    <mergeCell ref="G39:I39"/>
    <mergeCell ref="G76:I76"/>
    <mergeCell ref="G77:I77"/>
    <mergeCell ref="G78:I78"/>
    <mergeCell ref="G116:I116"/>
    <mergeCell ref="G117:I117"/>
    <mergeCell ref="G118:I118"/>
    <mergeCell ref="G145:I145"/>
    <mergeCell ref="G146:I146"/>
    <mergeCell ref="G147:I147"/>
    <mergeCell ref="G174:I174"/>
    <mergeCell ref="G175:I175"/>
    <mergeCell ref="G176:I176"/>
    <mergeCell ref="I94:J94"/>
    <mergeCell ref="I95:J95"/>
    <mergeCell ref="I96:J96"/>
    <mergeCell ref="I137:J137"/>
    <mergeCell ref="I138:J138"/>
  </mergeCells>
  <pageMargins left="1" right="1" top="1" bottom="1" header="0.5" footer="0.5"/>
  <pageSetup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89"/>
  <sheetViews>
    <sheetView workbookViewId="0">
      <pane ySplit="3" topLeftCell="A4" activePane="bottomLeft" state="frozen"/>
      <selection pane="bottomLeft" activeCell="E79" sqref="E79"/>
    </sheetView>
  </sheetViews>
  <sheetFormatPr defaultRowHeight="12.75"/>
  <cols>
    <col min="1" max="1" width="7.5703125" style="22" customWidth="1"/>
    <col min="2" max="2" width="9.28515625" style="23" customWidth="1"/>
    <col min="3" max="3" width="11.5703125" style="23" bestFit="1" customWidth="1"/>
    <col min="4" max="4" width="9.5703125" style="23" customWidth="1"/>
    <col min="5" max="5" width="10" style="510" bestFit="1" customWidth="1"/>
    <col min="6" max="6" width="9.5703125" style="23" customWidth="1"/>
    <col min="7" max="7" width="9.5703125" style="524" customWidth="1"/>
    <col min="8" max="8" width="7.5703125" style="23" customWidth="1"/>
    <col min="9" max="10" width="10" style="23" customWidth="1"/>
    <col min="11" max="11" width="9.5703125" style="23" bestFit="1" customWidth="1"/>
    <col min="12" max="12" width="10" style="20" customWidth="1"/>
    <col min="13" max="13" width="2.7109375" style="23" customWidth="1"/>
    <col min="14" max="14" width="2.7109375" style="22" customWidth="1"/>
    <col min="15" max="15" width="7.42578125" style="22" bestFit="1" customWidth="1"/>
    <col min="16" max="16" width="9.28515625" style="22" bestFit="1" customWidth="1"/>
    <col min="17" max="19" width="10.28515625" style="22" customWidth="1"/>
    <col min="20" max="20" width="13.140625" style="22" customWidth="1"/>
    <col min="21" max="21" width="9.5703125" style="23" customWidth="1"/>
    <col min="22" max="22" width="10" style="23" customWidth="1"/>
    <col min="23" max="23" width="11.5703125" style="23" customWidth="1"/>
    <col min="24" max="24" width="10" style="23" customWidth="1"/>
    <col min="25" max="16384" width="9.140625" style="22"/>
  </cols>
  <sheetData>
    <row r="1" spans="1:24" ht="15" customHeight="1">
      <c r="A1" s="674" t="s">
        <v>0</v>
      </c>
      <c r="B1" s="670" t="s">
        <v>72</v>
      </c>
      <c r="C1" s="673" t="s">
        <v>88</v>
      </c>
      <c r="D1" s="676" t="s">
        <v>87</v>
      </c>
      <c r="E1" s="677"/>
      <c r="F1" s="676" t="s">
        <v>69</v>
      </c>
      <c r="G1" s="677"/>
      <c r="H1" s="662" t="s">
        <v>182</v>
      </c>
      <c r="I1" s="659" t="s">
        <v>408</v>
      </c>
      <c r="J1" s="660"/>
      <c r="K1" s="660"/>
      <c r="L1" s="661"/>
      <c r="O1" s="668" t="s">
        <v>0</v>
      </c>
      <c r="P1" s="670" t="s">
        <v>72</v>
      </c>
      <c r="Q1" s="670" t="s">
        <v>15</v>
      </c>
      <c r="R1" s="670" t="s">
        <v>16</v>
      </c>
      <c r="S1" s="662" t="s">
        <v>74</v>
      </c>
      <c r="T1" s="664" t="s">
        <v>71</v>
      </c>
      <c r="U1" s="659" t="s">
        <v>408</v>
      </c>
      <c r="V1" s="660"/>
      <c r="W1" s="660"/>
      <c r="X1" s="661"/>
    </row>
    <row r="2" spans="1:24" ht="15.75" thickBot="1">
      <c r="A2" s="675"/>
      <c r="B2" s="672"/>
      <c r="C2" s="672"/>
      <c r="D2" s="61" t="s">
        <v>410</v>
      </c>
      <c r="E2" s="501" t="s">
        <v>260</v>
      </c>
      <c r="F2" s="457" t="s">
        <v>410</v>
      </c>
      <c r="G2" s="513" t="s">
        <v>260</v>
      </c>
      <c r="H2" s="663"/>
      <c r="I2" s="412" t="s">
        <v>409</v>
      </c>
      <c r="J2" s="413" t="s">
        <v>260</v>
      </c>
      <c r="K2" s="414" t="s">
        <v>0</v>
      </c>
      <c r="L2" s="423" t="s">
        <v>95</v>
      </c>
      <c r="O2" s="669"/>
      <c r="P2" s="671"/>
      <c r="Q2" s="672"/>
      <c r="R2" s="672"/>
      <c r="S2" s="663"/>
      <c r="T2" s="665"/>
      <c r="U2" s="412" t="s">
        <v>410</v>
      </c>
      <c r="V2" s="413" t="s">
        <v>260</v>
      </c>
      <c r="W2" s="414" t="s">
        <v>411</v>
      </c>
      <c r="X2" s="411" t="s">
        <v>95</v>
      </c>
    </row>
    <row r="3" spans="1:24" s="24" customFormat="1" ht="16.5" hidden="1" customHeight="1" thickTop="1" thickBot="1">
      <c r="A3" s="435"/>
      <c r="B3" s="436"/>
      <c r="C3" s="437"/>
      <c r="D3" s="216"/>
      <c r="E3" s="502"/>
      <c r="F3" s="458"/>
      <c r="G3" s="514"/>
      <c r="H3" s="438"/>
      <c r="I3" s="416"/>
      <c r="J3" s="417"/>
      <c r="K3" s="407"/>
      <c r="L3" s="425"/>
      <c r="M3" s="26"/>
      <c r="O3" s="386" t="s">
        <v>17</v>
      </c>
      <c r="P3" s="30" t="s">
        <v>75</v>
      </c>
      <c r="Q3" s="38" t="s">
        <v>73</v>
      </c>
      <c r="R3" s="34">
        <v>16000</v>
      </c>
      <c r="S3" s="46" t="e">
        <f>SUM(#REF!)</f>
        <v>#REF!</v>
      </c>
      <c r="T3" s="391" t="e">
        <f>SUM(Q3:S3)/1000</f>
        <v>#REF!</v>
      </c>
      <c r="U3" s="416"/>
      <c r="V3" s="417"/>
      <c r="W3" s="407"/>
      <c r="X3" s="415"/>
    </row>
    <row r="4" spans="1:24" s="21" customFormat="1" ht="16.5" customHeight="1" thickTop="1">
      <c r="A4" s="439" t="s">
        <v>1</v>
      </c>
      <c r="B4" s="440" t="s">
        <v>76</v>
      </c>
      <c r="C4" s="441">
        <v>17100</v>
      </c>
      <c r="D4" s="456">
        <v>0</v>
      </c>
      <c r="E4" s="503">
        <v>0</v>
      </c>
      <c r="F4" s="446">
        <v>0</v>
      </c>
      <c r="G4" s="515">
        <v>0</v>
      </c>
      <c r="H4" s="449">
        <v>0</v>
      </c>
      <c r="I4" s="486">
        <f t="shared" ref="I4:I35" si="0">SUM(C4,D4,F4,H4)</f>
        <v>17100</v>
      </c>
      <c r="J4" s="490">
        <f>SUM(C4,E4,G4,H4)</f>
        <v>17100</v>
      </c>
      <c r="K4" s="495">
        <f>J4*1.25</f>
        <v>21375</v>
      </c>
      <c r="L4" s="487">
        <f>K4/480/SQRT(3)</f>
        <v>25.710129174850525</v>
      </c>
      <c r="M4" s="25"/>
      <c r="O4" s="387" t="s">
        <v>17</v>
      </c>
      <c r="P4" s="42" t="s">
        <v>75</v>
      </c>
      <c r="Q4" s="21">
        <v>0</v>
      </c>
      <c r="R4" s="37">
        <v>27600</v>
      </c>
      <c r="S4" s="47"/>
      <c r="T4" s="392">
        <f t="shared" ref="T4:T10" si="1">SUM(Q4:S4)</f>
        <v>27600</v>
      </c>
      <c r="U4" s="420">
        <f t="shared" ref="U4:U35" si="2">SUM(O4,P4,R4,T4)</f>
        <v>55200</v>
      </c>
      <c r="V4" s="421">
        <f>SUM(O4,Q4,S4,T4)</f>
        <v>27600</v>
      </c>
      <c r="W4" s="408">
        <f>V4*1.25</f>
        <v>34500</v>
      </c>
      <c r="X4" s="409">
        <f t="shared" ref="X4:X8" si="3">W4/208/SQRT(3)</f>
        <v>95.762424456933118</v>
      </c>
    </row>
    <row r="5" spans="1:24" s="21" customFormat="1" ht="16.5" customHeight="1">
      <c r="A5" s="427" t="s">
        <v>18</v>
      </c>
      <c r="B5" s="442" t="s">
        <v>76</v>
      </c>
      <c r="C5" s="443">
        <v>31000</v>
      </c>
      <c r="D5" s="64">
        <v>0</v>
      </c>
      <c r="E5" s="504">
        <v>0</v>
      </c>
      <c r="F5" s="447">
        <v>0</v>
      </c>
      <c r="G5" s="516">
        <v>0</v>
      </c>
      <c r="H5" s="450">
        <v>0</v>
      </c>
      <c r="I5" s="66">
        <f t="shared" si="0"/>
        <v>31000</v>
      </c>
      <c r="J5" s="491">
        <f t="shared" ref="J5:J68" si="4">SUM(C5,E5,G5,H5)</f>
        <v>31000</v>
      </c>
      <c r="K5" s="460">
        <f t="shared" ref="K5:K68" si="5">J5*1.25</f>
        <v>38750</v>
      </c>
      <c r="L5" s="484">
        <f t="shared" ref="L5:L6" si="6">K5/480/SQRT(3)</f>
        <v>46.609006106454167</v>
      </c>
      <c r="M5" s="25"/>
      <c r="O5" s="387" t="s">
        <v>65</v>
      </c>
      <c r="P5" s="42" t="s">
        <v>75</v>
      </c>
      <c r="Q5" s="21">
        <v>0</v>
      </c>
      <c r="R5" s="29">
        <v>3600</v>
      </c>
      <c r="S5" s="47">
        <v>25400</v>
      </c>
      <c r="T5" s="392">
        <f t="shared" si="1"/>
        <v>29000</v>
      </c>
      <c r="U5" s="420">
        <f t="shared" si="2"/>
        <v>32600</v>
      </c>
      <c r="V5" s="421">
        <f t="shared" ref="V5:V20" si="7">SUM(O5,Q5,S5,T5)</f>
        <v>54400</v>
      </c>
      <c r="W5" s="408">
        <f t="shared" ref="W5:W68" si="8">V5*1.25</f>
        <v>68000</v>
      </c>
      <c r="X5" s="409">
        <f t="shared" si="3"/>
        <v>188.7491264658392</v>
      </c>
    </row>
    <row r="6" spans="1:24" s="21" customFormat="1" ht="16.5" customHeight="1" thickBot="1">
      <c r="A6" s="427" t="s">
        <v>19</v>
      </c>
      <c r="B6" s="442" t="s">
        <v>76</v>
      </c>
      <c r="C6" s="443">
        <v>78300</v>
      </c>
      <c r="D6" s="64">
        <v>0</v>
      </c>
      <c r="E6" s="504">
        <v>0</v>
      </c>
      <c r="F6" s="447">
        <v>0</v>
      </c>
      <c r="G6" s="516">
        <v>0</v>
      </c>
      <c r="H6" s="451">
        <v>3000</v>
      </c>
      <c r="I6" s="66">
        <f t="shared" si="0"/>
        <v>81300</v>
      </c>
      <c r="J6" s="491">
        <f t="shared" si="4"/>
        <v>81300</v>
      </c>
      <c r="K6" s="460">
        <f t="shared" si="5"/>
        <v>101625</v>
      </c>
      <c r="L6" s="499">
        <f t="shared" si="6"/>
        <v>122.23587730499109</v>
      </c>
      <c r="M6" s="25"/>
      <c r="O6" s="388" t="s">
        <v>66</v>
      </c>
      <c r="P6" s="43" t="s">
        <v>75</v>
      </c>
      <c r="Q6" s="21">
        <v>0</v>
      </c>
      <c r="R6" s="21">
        <v>0</v>
      </c>
      <c r="S6" s="48">
        <v>16000</v>
      </c>
      <c r="T6" s="393">
        <f t="shared" si="1"/>
        <v>16000</v>
      </c>
      <c r="U6" s="420">
        <f t="shared" si="2"/>
        <v>16000</v>
      </c>
      <c r="V6" s="421">
        <f t="shared" si="7"/>
        <v>32000</v>
      </c>
      <c r="W6" s="408">
        <f t="shared" si="8"/>
        <v>40000</v>
      </c>
      <c r="X6" s="409">
        <f t="shared" si="3"/>
        <v>111.02889792108189</v>
      </c>
    </row>
    <row r="7" spans="1:24" s="21" customFormat="1" ht="16.5" customHeight="1">
      <c r="A7" s="427" t="s">
        <v>20</v>
      </c>
      <c r="B7" s="442" t="s">
        <v>76</v>
      </c>
      <c r="C7" s="443">
        <v>52900</v>
      </c>
      <c r="D7" s="64">
        <v>0</v>
      </c>
      <c r="E7" s="504">
        <v>0</v>
      </c>
      <c r="F7" s="447">
        <v>0</v>
      </c>
      <c r="G7" s="516">
        <v>0</v>
      </c>
      <c r="H7" s="450">
        <v>0</v>
      </c>
      <c r="I7" s="66">
        <f t="shared" si="0"/>
        <v>52900</v>
      </c>
      <c r="J7" s="491">
        <f t="shared" si="4"/>
        <v>52900</v>
      </c>
      <c r="K7" s="460">
        <f t="shared" si="5"/>
        <v>66125</v>
      </c>
      <c r="L7" s="484">
        <f>K7/480/SQRT(3)</f>
        <v>79.536013646175007</v>
      </c>
      <c r="M7" s="25"/>
      <c r="O7" s="389" t="s">
        <v>67</v>
      </c>
      <c r="P7" s="32" t="s">
        <v>76</v>
      </c>
      <c r="Q7" s="33">
        <v>55900</v>
      </c>
      <c r="R7" s="21">
        <v>0</v>
      </c>
      <c r="S7" s="21">
        <v>0</v>
      </c>
      <c r="T7" s="392">
        <f t="shared" si="1"/>
        <v>55900</v>
      </c>
      <c r="U7" s="420">
        <f t="shared" si="2"/>
        <v>55900</v>
      </c>
      <c r="V7" s="421">
        <f t="shared" si="7"/>
        <v>111800</v>
      </c>
      <c r="W7" s="408">
        <f t="shared" si="8"/>
        <v>139750</v>
      </c>
      <c r="X7" s="409">
        <f t="shared" si="3"/>
        <v>387.90721211177981</v>
      </c>
    </row>
    <row r="8" spans="1:24" s="21" customFormat="1" ht="16.5" customHeight="1" thickBot="1">
      <c r="A8" s="428" t="s">
        <v>21</v>
      </c>
      <c r="B8" s="444" t="s">
        <v>76</v>
      </c>
      <c r="C8" s="445">
        <v>57200</v>
      </c>
      <c r="D8" s="65">
        <v>0</v>
      </c>
      <c r="E8" s="505">
        <v>0</v>
      </c>
      <c r="F8" s="448">
        <v>0</v>
      </c>
      <c r="G8" s="517">
        <v>0</v>
      </c>
      <c r="H8" s="452">
        <v>0</v>
      </c>
      <c r="I8" s="67">
        <f t="shared" si="0"/>
        <v>57200</v>
      </c>
      <c r="J8" s="492">
        <f t="shared" si="4"/>
        <v>57200</v>
      </c>
      <c r="K8" s="461">
        <f t="shared" si="5"/>
        <v>71500</v>
      </c>
      <c r="L8" s="485">
        <f>K8/480/SQRT(3)</f>
        <v>86.001133848038009</v>
      </c>
      <c r="M8" s="25"/>
      <c r="O8" s="387" t="s">
        <v>68</v>
      </c>
      <c r="P8" s="31" t="s">
        <v>76</v>
      </c>
      <c r="Q8" s="35">
        <v>42000</v>
      </c>
      <c r="R8" s="21">
        <v>0</v>
      </c>
      <c r="S8" s="21">
        <v>0</v>
      </c>
      <c r="T8" s="392">
        <f t="shared" si="1"/>
        <v>42000</v>
      </c>
      <c r="U8" s="420">
        <f t="shared" si="2"/>
        <v>42000</v>
      </c>
      <c r="V8" s="421">
        <f t="shared" si="7"/>
        <v>84000</v>
      </c>
      <c r="W8" s="408">
        <f t="shared" si="8"/>
        <v>105000</v>
      </c>
      <c r="X8" s="409">
        <f t="shared" si="3"/>
        <v>291.45085704283997</v>
      </c>
    </row>
    <row r="9" spans="1:24" s="21" customFormat="1" ht="16.5" customHeight="1">
      <c r="A9" s="426" t="s">
        <v>14</v>
      </c>
      <c r="B9" s="44" t="s">
        <v>75</v>
      </c>
      <c r="C9" s="69">
        <f>800*2</f>
        <v>1600</v>
      </c>
      <c r="D9" s="62">
        <f>55102</f>
        <v>55102</v>
      </c>
      <c r="E9" s="511">
        <f>IF(D9&gt;10000,10000+(D9-10000)*0.5,D9)</f>
        <v>32551</v>
      </c>
      <c r="F9" s="459">
        <f>14000</f>
        <v>14000</v>
      </c>
      <c r="G9" s="518">
        <f>F9*0.5</f>
        <v>7000</v>
      </c>
      <c r="H9" s="453">
        <v>0</v>
      </c>
      <c r="I9" s="486">
        <f t="shared" si="0"/>
        <v>70702</v>
      </c>
      <c r="J9" s="490">
        <f t="shared" si="4"/>
        <v>41151</v>
      </c>
      <c r="K9" s="495">
        <f t="shared" si="5"/>
        <v>51438.75</v>
      </c>
      <c r="L9" s="498">
        <f>K9/208/SQRT(3)</f>
        <v>142.77969307345126</v>
      </c>
      <c r="M9" s="25"/>
      <c r="O9" s="387" t="s">
        <v>2</v>
      </c>
      <c r="P9" s="42" t="s">
        <v>75</v>
      </c>
      <c r="Q9" s="35">
        <v>10600</v>
      </c>
      <c r="R9" s="21">
        <v>0</v>
      </c>
      <c r="S9" s="21">
        <v>0</v>
      </c>
      <c r="T9" s="392">
        <f t="shared" si="1"/>
        <v>10600</v>
      </c>
      <c r="U9" s="420">
        <f t="shared" si="2"/>
        <v>10600</v>
      </c>
      <c r="V9" s="421">
        <f t="shared" si="7"/>
        <v>21200</v>
      </c>
      <c r="W9" s="408">
        <f t="shared" si="8"/>
        <v>26500</v>
      </c>
      <c r="X9" s="409">
        <f>W9/208/SQRT(3)</f>
        <v>73.556644872716745</v>
      </c>
    </row>
    <row r="10" spans="1:24" s="21" customFormat="1" ht="16.5" customHeight="1" thickBot="1">
      <c r="A10" s="427" t="s">
        <v>27</v>
      </c>
      <c r="B10" s="42" t="s">
        <v>75</v>
      </c>
      <c r="C10" s="64">
        <v>0</v>
      </c>
      <c r="D10" s="63">
        <v>25510</v>
      </c>
      <c r="E10" s="511">
        <f t="shared" ref="E10:E52" si="9">IF(D10&gt;10000,10000+(D10-10000)*0.5,D10)</f>
        <v>17755</v>
      </c>
      <c r="F10" s="460">
        <v>1400</v>
      </c>
      <c r="G10" s="518">
        <f t="shared" ref="G10:G53" si="10">F10*0.5</f>
        <v>700</v>
      </c>
      <c r="H10" s="453">
        <v>0</v>
      </c>
      <c r="I10" s="66">
        <f t="shared" si="0"/>
        <v>26910</v>
      </c>
      <c r="J10" s="491">
        <f t="shared" si="4"/>
        <v>18455</v>
      </c>
      <c r="K10" s="460">
        <f t="shared" si="5"/>
        <v>23068.75</v>
      </c>
      <c r="L10" s="484">
        <f t="shared" ref="L10:L59" si="11">K10/208/SQRT(3)</f>
        <v>64.032447222923935</v>
      </c>
      <c r="M10" s="25"/>
      <c r="O10" s="390" t="s">
        <v>3</v>
      </c>
      <c r="P10" s="45" t="s">
        <v>75</v>
      </c>
      <c r="Q10" s="36">
        <v>13600</v>
      </c>
      <c r="R10" s="21">
        <v>0</v>
      </c>
      <c r="S10" s="21">
        <v>0</v>
      </c>
      <c r="T10" s="392">
        <f t="shared" si="1"/>
        <v>13600</v>
      </c>
      <c r="U10" s="420">
        <f t="shared" si="2"/>
        <v>13600</v>
      </c>
      <c r="V10" s="421">
        <f t="shared" si="7"/>
        <v>27200</v>
      </c>
      <c r="W10" s="408">
        <f t="shared" si="8"/>
        <v>34000</v>
      </c>
      <c r="X10" s="409">
        <f t="shared" ref="X10:X69" si="12">W10/208/SQRT(3)</f>
        <v>94.374563232919598</v>
      </c>
    </row>
    <row r="11" spans="1:24" s="21" customFormat="1" ht="16.5" customHeight="1" thickTop="1" thickBot="1">
      <c r="A11" s="427" t="s">
        <v>28</v>
      </c>
      <c r="B11" s="42" t="s">
        <v>75</v>
      </c>
      <c r="C11" s="64">
        <v>0</v>
      </c>
      <c r="D11" s="63">
        <v>37600</v>
      </c>
      <c r="E11" s="511">
        <f t="shared" si="9"/>
        <v>23800</v>
      </c>
      <c r="F11" s="460">
        <v>2600</v>
      </c>
      <c r="G11" s="518">
        <f t="shared" si="10"/>
        <v>1300</v>
      </c>
      <c r="H11" s="453">
        <v>0</v>
      </c>
      <c r="I11" s="66">
        <f t="shared" si="0"/>
        <v>40200</v>
      </c>
      <c r="J11" s="491">
        <f t="shared" si="4"/>
        <v>25100</v>
      </c>
      <c r="K11" s="460">
        <f t="shared" si="5"/>
        <v>31375</v>
      </c>
      <c r="L11" s="484">
        <f t="shared" si="11"/>
        <v>87.088291806848602</v>
      </c>
      <c r="M11" s="25"/>
      <c r="O11" s="666" t="s">
        <v>70</v>
      </c>
      <c r="P11" s="667"/>
      <c r="Q11" s="39">
        <f>SUM(Q3:Q10)</f>
        <v>122100</v>
      </c>
      <c r="R11" s="40">
        <f t="shared" ref="R11:S11" si="13">SUM(R3:R10)</f>
        <v>47200</v>
      </c>
      <c r="S11" s="49" t="e">
        <f t="shared" si="13"/>
        <v>#REF!</v>
      </c>
      <c r="T11" s="394" t="e">
        <f>SUM(T3:T10)</f>
        <v>#REF!</v>
      </c>
      <c r="U11" s="420" t="e">
        <f t="shared" si="2"/>
        <v>#REF!</v>
      </c>
      <c r="V11" s="421" t="e">
        <f t="shared" si="7"/>
        <v>#REF!</v>
      </c>
      <c r="W11" s="408" t="e">
        <f t="shared" si="8"/>
        <v>#REF!</v>
      </c>
      <c r="X11" s="409" t="e">
        <f t="shared" si="12"/>
        <v>#REF!</v>
      </c>
    </row>
    <row r="12" spans="1:24" s="21" customFormat="1" ht="16.5" customHeight="1">
      <c r="A12" s="427" t="s">
        <v>29</v>
      </c>
      <c r="B12" s="42" t="s">
        <v>75</v>
      </c>
      <c r="C12" s="64">
        <v>0</v>
      </c>
      <c r="D12" s="63">
        <v>60150</v>
      </c>
      <c r="E12" s="511">
        <f t="shared" si="9"/>
        <v>35075</v>
      </c>
      <c r="F12" s="460">
        <v>9100</v>
      </c>
      <c r="G12" s="518">
        <f t="shared" si="10"/>
        <v>4550</v>
      </c>
      <c r="H12" s="454">
        <v>6000</v>
      </c>
      <c r="I12" s="66">
        <f t="shared" si="0"/>
        <v>75250</v>
      </c>
      <c r="J12" s="491">
        <f t="shared" si="4"/>
        <v>45625</v>
      </c>
      <c r="K12" s="460">
        <f t="shared" si="5"/>
        <v>57031.25</v>
      </c>
      <c r="L12" s="499">
        <f t="shared" si="11"/>
        <v>158.30292086404253</v>
      </c>
      <c r="M12" s="25"/>
      <c r="U12" s="420">
        <f t="shared" si="2"/>
        <v>0</v>
      </c>
      <c r="V12" s="421">
        <f t="shared" si="7"/>
        <v>0</v>
      </c>
      <c r="W12" s="408">
        <f t="shared" si="8"/>
        <v>0</v>
      </c>
      <c r="X12" s="409">
        <f t="shared" si="12"/>
        <v>0</v>
      </c>
    </row>
    <row r="13" spans="1:24" s="21" customFormat="1" ht="16.5" customHeight="1">
      <c r="A13" s="427" t="s">
        <v>30</v>
      </c>
      <c r="B13" s="42" t="s">
        <v>75</v>
      </c>
      <c r="C13" s="64">
        <v>0</v>
      </c>
      <c r="D13" s="63">
        <v>40800</v>
      </c>
      <c r="E13" s="511">
        <f t="shared" si="9"/>
        <v>25400</v>
      </c>
      <c r="F13" s="460">
        <v>10400</v>
      </c>
      <c r="G13" s="518">
        <f t="shared" si="10"/>
        <v>5200</v>
      </c>
      <c r="H13" s="453">
        <v>0</v>
      </c>
      <c r="I13" s="66">
        <f t="shared" si="0"/>
        <v>51200</v>
      </c>
      <c r="J13" s="491">
        <f t="shared" si="4"/>
        <v>30600</v>
      </c>
      <c r="K13" s="460">
        <f t="shared" si="5"/>
        <v>38250</v>
      </c>
      <c r="L13" s="499">
        <f t="shared" si="11"/>
        <v>106.17138363703455</v>
      </c>
      <c r="M13" s="25"/>
      <c r="U13" s="420">
        <f t="shared" si="2"/>
        <v>0</v>
      </c>
      <c r="V13" s="421">
        <f t="shared" si="7"/>
        <v>0</v>
      </c>
      <c r="W13" s="408">
        <f t="shared" si="8"/>
        <v>0</v>
      </c>
      <c r="X13" s="409">
        <f t="shared" si="12"/>
        <v>0</v>
      </c>
    </row>
    <row r="14" spans="1:24" s="21" customFormat="1" ht="16.5" customHeight="1">
      <c r="A14" s="427" t="s">
        <v>31</v>
      </c>
      <c r="B14" s="42" t="s">
        <v>75</v>
      </c>
      <c r="C14" s="64">
        <v>0</v>
      </c>
      <c r="D14" s="63">
        <v>84800</v>
      </c>
      <c r="E14" s="511">
        <f t="shared" si="9"/>
        <v>47400</v>
      </c>
      <c r="F14" s="460">
        <v>6400</v>
      </c>
      <c r="G14" s="518">
        <f t="shared" si="10"/>
        <v>3200</v>
      </c>
      <c r="H14" s="453">
        <v>0</v>
      </c>
      <c r="I14" s="66">
        <f t="shared" si="0"/>
        <v>91200</v>
      </c>
      <c r="J14" s="491">
        <f t="shared" si="4"/>
        <v>50600</v>
      </c>
      <c r="K14" s="460">
        <f t="shared" si="5"/>
        <v>63250</v>
      </c>
      <c r="L14" s="499">
        <f t="shared" si="11"/>
        <v>175.56444483771074</v>
      </c>
      <c r="M14" s="25"/>
      <c r="U14" s="420">
        <f t="shared" si="2"/>
        <v>0</v>
      </c>
      <c r="V14" s="421">
        <f t="shared" si="7"/>
        <v>0</v>
      </c>
      <c r="W14" s="408">
        <f t="shared" si="8"/>
        <v>0</v>
      </c>
      <c r="X14" s="409">
        <f t="shared" si="12"/>
        <v>0</v>
      </c>
    </row>
    <row r="15" spans="1:24" s="21" customFormat="1" ht="16.5" customHeight="1">
      <c r="A15" s="427" t="s">
        <v>33</v>
      </c>
      <c r="B15" s="42" t="s">
        <v>75</v>
      </c>
      <c r="C15" s="64">
        <v>0</v>
      </c>
      <c r="D15" s="63">
        <v>50150</v>
      </c>
      <c r="E15" s="511">
        <f t="shared" si="9"/>
        <v>30075</v>
      </c>
      <c r="F15" s="460">
        <v>10200</v>
      </c>
      <c r="G15" s="518">
        <f t="shared" si="10"/>
        <v>5100</v>
      </c>
      <c r="H15" s="453">
        <v>0</v>
      </c>
      <c r="I15" s="66">
        <f t="shared" si="0"/>
        <v>60350</v>
      </c>
      <c r="J15" s="491">
        <f t="shared" si="4"/>
        <v>35175</v>
      </c>
      <c r="K15" s="460">
        <f t="shared" si="5"/>
        <v>43968.75</v>
      </c>
      <c r="L15" s="499">
        <f t="shared" si="11"/>
        <v>122.04504638668924</v>
      </c>
      <c r="M15" s="25"/>
      <c r="U15" s="420">
        <f t="shared" si="2"/>
        <v>0</v>
      </c>
      <c r="V15" s="421">
        <f t="shared" si="7"/>
        <v>0</v>
      </c>
      <c r="W15" s="408">
        <f t="shared" si="8"/>
        <v>0</v>
      </c>
      <c r="X15" s="409">
        <f t="shared" si="12"/>
        <v>0</v>
      </c>
    </row>
    <row r="16" spans="1:24" s="21" customFormat="1" ht="16.5" customHeight="1">
      <c r="A16" s="427" t="s">
        <v>34</v>
      </c>
      <c r="B16" s="42" t="s">
        <v>75</v>
      </c>
      <c r="C16" s="64">
        <v>0</v>
      </c>
      <c r="D16" s="63">
        <v>47000</v>
      </c>
      <c r="E16" s="511">
        <f t="shared" si="9"/>
        <v>28500</v>
      </c>
      <c r="F16" s="460">
        <v>5600</v>
      </c>
      <c r="G16" s="518">
        <f t="shared" si="10"/>
        <v>2800</v>
      </c>
      <c r="H16" s="453">
        <v>0</v>
      </c>
      <c r="I16" s="66">
        <f t="shared" si="0"/>
        <v>52600</v>
      </c>
      <c r="J16" s="491">
        <f t="shared" si="4"/>
        <v>31300</v>
      </c>
      <c r="K16" s="460">
        <f t="shared" si="5"/>
        <v>39125</v>
      </c>
      <c r="L16" s="499">
        <f t="shared" si="11"/>
        <v>108.60014077905822</v>
      </c>
      <c r="M16" s="25"/>
      <c r="U16" s="420">
        <f t="shared" si="2"/>
        <v>0</v>
      </c>
      <c r="V16" s="421">
        <f t="shared" si="7"/>
        <v>0</v>
      </c>
      <c r="W16" s="408">
        <f t="shared" si="8"/>
        <v>0</v>
      </c>
      <c r="X16" s="409">
        <f t="shared" si="12"/>
        <v>0</v>
      </c>
    </row>
    <row r="17" spans="1:24" s="21" customFormat="1" ht="16.5" customHeight="1">
      <c r="A17" s="427" t="s">
        <v>36</v>
      </c>
      <c r="B17" s="42" t="s">
        <v>75</v>
      </c>
      <c r="C17" s="64">
        <v>0</v>
      </c>
      <c r="D17" s="63">
        <v>28150</v>
      </c>
      <c r="E17" s="511">
        <f t="shared" si="9"/>
        <v>19075</v>
      </c>
      <c r="F17" s="460">
        <v>2000</v>
      </c>
      <c r="G17" s="518">
        <f t="shared" si="10"/>
        <v>1000</v>
      </c>
      <c r="H17" s="453">
        <v>0</v>
      </c>
      <c r="I17" s="66">
        <f t="shared" si="0"/>
        <v>30150</v>
      </c>
      <c r="J17" s="491">
        <f t="shared" si="4"/>
        <v>20075</v>
      </c>
      <c r="K17" s="460">
        <f t="shared" si="5"/>
        <v>25093.75</v>
      </c>
      <c r="L17" s="484">
        <f t="shared" si="11"/>
        <v>69.653285180178713</v>
      </c>
      <c r="M17" s="25"/>
      <c r="U17" s="420">
        <f t="shared" si="2"/>
        <v>0</v>
      </c>
      <c r="V17" s="421">
        <f t="shared" si="7"/>
        <v>0</v>
      </c>
      <c r="W17" s="408">
        <f t="shared" si="8"/>
        <v>0</v>
      </c>
      <c r="X17" s="409">
        <f t="shared" si="12"/>
        <v>0</v>
      </c>
    </row>
    <row r="18" spans="1:24" s="21" customFormat="1" ht="16.5" customHeight="1">
      <c r="A18" s="427" t="s">
        <v>37</v>
      </c>
      <c r="B18" s="42" t="s">
        <v>75</v>
      </c>
      <c r="C18" s="68">
        <v>2000</v>
      </c>
      <c r="D18" s="63">
        <v>31100</v>
      </c>
      <c r="E18" s="511">
        <f t="shared" si="9"/>
        <v>20550</v>
      </c>
      <c r="F18" s="460">
        <v>4600</v>
      </c>
      <c r="G18" s="518">
        <f t="shared" si="10"/>
        <v>2300</v>
      </c>
      <c r="H18" s="453">
        <v>0</v>
      </c>
      <c r="I18" s="66">
        <f t="shared" si="0"/>
        <v>37700</v>
      </c>
      <c r="J18" s="491">
        <f t="shared" si="4"/>
        <v>24850</v>
      </c>
      <c r="K18" s="460">
        <f t="shared" si="5"/>
        <v>31062.5</v>
      </c>
      <c r="L18" s="484">
        <f t="shared" si="11"/>
        <v>86.220878541840165</v>
      </c>
      <c r="M18" s="25"/>
      <c r="U18" s="420">
        <f t="shared" si="2"/>
        <v>0</v>
      </c>
      <c r="V18" s="421">
        <f t="shared" si="7"/>
        <v>0</v>
      </c>
      <c r="W18" s="408">
        <f t="shared" si="8"/>
        <v>0</v>
      </c>
      <c r="X18" s="409">
        <f t="shared" si="12"/>
        <v>0</v>
      </c>
    </row>
    <row r="19" spans="1:24" s="21" customFormat="1" ht="16.5" customHeight="1">
      <c r="A19" s="427" t="s">
        <v>38</v>
      </c>
      <c r="B19" s="42" t="s">
        <v>75</v>
      </c>
      <c r="C19" s="68">
        <v>1200</v>
      </c>
      <c r="D19" s="63">
        <v>15600</v>
      </c>
      <c r="E19" s="511">
        <f t="shared" si="9"/>
        <v>12800</v>
      </c>
      <c r="F19" s="460">
        <v>2000</v>
      </c>
      <c r="G19" s="518">
        <f t="shared" si="10"/>
        <v>1000</v>
      </c>
      <c r="H19" s="453">
        <v>0</v>
      </c>
      <c r="I19" s="66">
        <f t="shared" si="0"/>
        <v>18800</v>
      </c>
      <c r="J19" s="491">
        <f t="shared" si="4"/>
        <v>15000</v>
      </c>
      <c r="K19" s="460">
        <f t="shared" si="5"/>
        <v>18750</v>
      </c>
      <c r="L19" s="484">
        <f t="shared" si="11"/>
        <v>52.044795900507133</v>
      </c>
      <c r="M19" s="25"/>
      <c r="U19" s="420">
        <f t="shared" si="2"/>
        <v>0</v>
      </c>
      <c r="V19" s="421">
        <f t="shared" si="7"/>
        <v>0</v>
      </c>
      <c r="W19" s="408">
        <f t="shared" si="8"/>
        <v>0</v>
      </c>
      <c r="X19" s="409">
        <f t="shared" si="12"/>
        <v>0</v>
      </c>
    </row>
    <row r="20" spans="1:24" s="21" customFormat="1" ht="16.5" customHeight="1">
      <c r="A20" s="427" t="s">
        <v>39</v>
      </c>
      <c r="B20" s="42" t="s">
        <v>75</v>
      </c>
      <c r="C20" s="64">
        <v>0</v>
      </c>
      <c r="D20" s="63">
        <v>36000</v>
      </c>
      <c r="E20" s="511">
        <f t="shared" si="9"/>
        <v>23000</v>
      </c>
      <c r="F20" s="460">
        <v>1400</v>
      </c>
      <c r="G20" s="518">
        <f t="shared" si="10"/>
        <v>700</v>
      </c>
      <c r="H20" s="453">
        <v>0</v>
      </c>
      <c r="I20" s="66">
        <f t="shared" si="0"/>
        <v>37400</v>
      </c>
      <c r="J20" s="491">
        <f t="shared" si="4"/>
        <v>23700</v>
      </c>
      <c r="K20" s="460">
        <f t="shared" si="5"/>
        <v>29625</v>
      </c>
      <c r="L20" s="484">
        <f t="shared" si="11"/>
        <v>82.230777522801276</v>
      </c>
      <c r="M20" s="25"/>
      <c r="U20" s="420">
        <f t="shared" si="2"/>
        <v>0</v>
      </c>
      <c r="V20" s="421">
        <f t="shared" si="7"/>
        <v>0</v>
      </c>
      <c r="W20" s="408">
        <f t="shared" si="8"/>
        <v>0</v>
      </c>
      <c r="X20" s="409">
        <f t="shared" si="12"/>
        <v>0</v>
      </c>
    </row>
    <row r="21" spans="1:24" s="21" customFormat="1" ht="16.5" customHeight="1">
      <c r="A21" s="427" t="s">
        <v>41</v>
      </c>
      <c r="B21" s="42" t="s">
        <v>75</v>
      </c>
      <c r="C21" s="64">
        <v>0</v>
      </c>
      <c r="D21" s="63">
        <v>19200</v>
      </c>
      <c r="E21" s="511">
        <f t="shared" si="9"/>
        <v>14600</v>
      </c>
      <c r="F21" s="447">
        <v>2000</v>
      </c>
      <c r="G21" s="518">
        <f t="shared" si="10"/>
        <v>1000</v>
      </c>
      <c r="H21" s="453">
        <v>0</v>
      </c>
      <c r="I21" s="66">
        <f t="shared" si="0"/>
        <v>21200</v>
      </c>
      <c r="J21" s="491">
        <f>SUM(C21,E21,G21,H21)</f>
        <v>15600</v>
      </c>
      <c r="K21" s="460">
        <f t="shared" si="5"/>
        <v>19500</v>
      </c>
      <c r="L21" s="484">
        <f t="shared" si="11"/>
        <v>54.126587736527419</v>
      </c>
      <c r="M21" s="25"/>
      <c r="U21" s="420">
        <f t="shared" si="2"/>
        <v>0</v>
      </c>
      <c r="V21" s="421">
        <f>SUM(O21,Q21,S21,T21)</f>
        <v>0</v>
      </c>
      <c r="W21" s="408">
        <f t="shared" si="8"/>
        <v>0</v>
      </c>
      <c r="X21" s="409">
        <f t="shared" si="12"/>
        <v>0</v>
      </c>
    </row>
    <row r="22" spans="1:24" s="21" customFormat="1" ht="16.5" customHeight="1">
      <c r="A22" s="427" t="s">
        <v>42</v>
      </c>
      <c r="B22" s="42" t="s">
        <v>75</v>
      </c>
      <c r="C22" s="70">
        <v>1200</v>
      </c>
      <c r="D22" s="63">
        <v>21400</v>
      </c>
      <c r="E22" s="511">
        <f t="shared" si="9"/>
        <v>15700</v>
      </c>
      <c r="F22" s="460">
        <v>2800</v>
      </c>
      <c r="G22" s="518">
        <f t="shared" si="10"/>
        <v>1400</v>
      </c>
      <c r="H22" s="453">
        <v>0</v>
      </c>
      <c r="I22" s="66">
        <f t="shared" si="0"/>
        <v>25400</v>
      </c>
      <c r="J22" s="491">
        <f t="shared" si="4"/>
        <v>18300</v>
      </c>
      <c r="K22" s="460">
        <f t="shared" si="5"/>
        <v>22875</v>
      </c>
      <c r="L22" s="484">
        <f t="shared" si="11"/>
        <v>63.494650998618702</v>
      </c>
      <c r="M22" s="25"/>
      <c r="U22" s="420">
        <f t="shared" si="2"/>
        <v>0</v>
      </c>
      <c r="V22" s="421">
        <f t="shared" ref="V22:V68" si="14">SUM(O22,Q22,S22,T22)</f>
        <v>0</v>
      </c>
      <c r="W22" s="408">
        <f t="shared" si="8"/>
        <v>0</v>
      </c>
      <c r="X22" s="409">
        <f t="shared" si="12"/>
        <v>0</v>
      </c>
    </row>
    <row r="23" spans="1:24" s="21" customFormat="1" ht="16.5" customHeight="1">
      <c r="A23" s="427" t="s">
        <v>43</v>
      </c>
      <c r="B23" s="42" t="s">
        <v>75</v>
      </c>
      <c r="C23" s="68">
        <v>1200</v>
      </c>
      <c r="D23" s="63">
        <v>28200</v>
      </c>
      <c r="E23" s="511">
        <f t="shared" si="9"/>
        <v>19100</v>
      </c>
      <c r="F23" s="460">
        <v>4600</v>
      </c>
      <c r="G23" s="518">
        <f t="shared" si="10"/>
        <v>2300</v>
      </c>
      <c r="H23" s="453">
        <v>0</v>
      </c>
      <c r="I23" s="66">
        <f t="shared" si="0"/>
        <v>34000</v>
      </c>
      <c r="J23" s="491">
        <f t="shared" si="4"/>
        <v>22600</v>
      </c>
      <c r="K23" s="460">
        <f t="shared" si="5"/>
        <v>28250</v>
      </c>
      <c r="L23" s="484">
        <f t="shared" si="11"/>
        <v>78.414159156764072</v>
      </c>
      <c r="M23" s="25"/>
      <c r="U23" s="420">
        <f t="shared" si="2"/>
        <v>0</v>
      </c>
      <c r="V23" s="421">
        <f t="shared" si="14"/>
        <v>0</v>
      </c>
      <c r="W23" s="408">
        <f t="shared" si="8"/>
        <v>0</v>
      </c>
      <c r="X23" s="409">
        <f t="shared" si="12"/>
        <v>0</v>
      </c>
    </row>
    <row r="24" spans="1:24" s="21" customFormat="1" ht="16.5" customHeight="1">
      <c r="A24" s="427" t="s">
        <v>45</v>
      </c>
      <c r="B24" s="42" t="s">
        <v>75</v>
      </c>
      <c r="C24" s="68">
        <v>400</v>
      </c>
      <c r="D24" s="63">
        <v>25400</v>
      </c>
      <c r="E24" s="511">
        <f t="shared" si="9"/>
        <v>17700</v>
      </c>
      <c r="F24" s="460">
        <v>2000</v>
      </c>
      <c r="G24" s="518">
        <f t="shared" si="10"/>
        <v>1000</v>
      </c>
      <c r="H24" s="453">
        <v>0</v>
      </c>
      <c r="I24" s="66">
        <f t="shared" si="0"/>
        <v>27800</v>
      </c>
      <c r="J24" s="491">
        <f t="shared" si="4"/>
        <v>19100</v>
      </c>
      <c r="K24" s="460">
        <f t="shared" si="5"/>
        <v>23875</v>
      </c>
      <c r="L24" s="484">
        <f t="shared" si="11"/>
        <v>66.270373446645749</v>
      </c>
      <c r="U24" s="420">
        <f t="shared" si="2"/>
        <v>0</v>
      </c>
      <c r="V24" s="421">
        <f t="shared" si="14"/>
        <v>0</v>
      </c>
      <c r="W24" s="408">
        <f t="shared" si="8"/>
        <v>0</v>
      </c>
      <c r="X24" s="409">
        <f t="shared" si="12"/>
        <v>0</v>
      </c>
    </row>
    <row r="25" spans="1:24" s="21" customFormat="1" ht="16.5" customHeight="1">
      <c r="A25" s="427" t="s">
        <v>46</v>
      </c>
      <c r="B25" s="42" t="s">
        <v>75</v>
      </c>
      <c r="C25" s="64">
        <v>0</v>
      </c>
      <c r="D25" s="63">
        <v>12200</v>
      </c>
      <c r="E25" s="511">
        <f t="shared" si="9"/>
        <v>11100</v>
      </c>
      <c r="F25" s="447">
        <v>0</v>
      </c>
      <c r="G25" s="519">
        <v>0</v>
      </c>
      <c r="H25" s="453">
        <v>0</v>
      </c>
      <c r="I25" s="66">
        <f t="shared" si="0"/>
        <v>12200</v>
      </c>
      <c r="J25" s="491">
        <f t="shared" si="4"/>
        <v>11100</v>
      </c>
      <c r="K25" s="460">
        <f t="shared" si="5"/>
        <v>13875</v>
      </c>
      <c r="L25" s="484">
        <f t="shared" si="11"/>
        <v>38.513148966375283</v>
      </c>
      <c r="U25" s="420">
        <f t="shared" si="2"/>
        <v>0</v>
      </c>
      <c r="V25" s="421">
        <f t="shared" si="14"/>
        <v>0</v>
      </c>
      <c r="W25" s="408">
        <f t="shared" si="8"/>
        <v>0</v>
      </c>
      <c r="X25" s="409">
        <f t="shared" si="12"/>
        <v>0</v>
      </c>
    </row>
    <row r="26" spans="1:24" s="21" customFormat="1" ht="16.5" customHeight="1">
      <c r="A26" s="427" t="s">
        <v>47</v>
      </c>
      <c r="B26" s="42" t="s">
        <v>75</v>
      </c>
      <c r="C26" s="64">
        <v>0</v>
      </c>
      <c r="D26" s="63">
        <v>32200</v>
      </c>
      <c r="E26" s="511">
        <f t="shared" si="9"/>
        <v>21100</v>
      </c>
      <c r="F26" s="447">
        <v>0</v>
      </c>
      <c r="G26" s="519">
        <v>0</v>
      </c>
      <c r="H26" s="453">
        <v>0</v>
      </c>
      <c r="I26" s="66">
        <f t="shared" si="0"/>
        <v>32200</v>
      </c>
      <c r="J26" s="491">
        <f t="shared" si="4"/>
        <v>21100</v>
      </c>
      <c r="K26" s="460">
        <f t="shared" si="5"/>
        <v>26375</v>
      </c>
      <c r="L26" s="484">
        <f t="shared" si="11"/>
        <v>73.209679566713362</v>
      </c>
      <c r="U26" s="420">
        <f t="shared" si="2"/>
        <v>0</v>
      </c>
      <c r="V26" s="421">
        <f t="shared" si="14"/>
        <v>0</v>
      </c>
      <c r="W26" s="408">
        <f t="shared" si="8"/>
        <v>0</v>
      </c>
      <c r="X26" s="409">
        <f t="shared" si="12"/>
        <v>0</v>
      </c>
    </row>
    <row r="27" spans="1:24" s="21" customFormat="1" ht="16.5" customHeight="1">
      <c r="A27" s="427" t="s">
        <v>48</v>
      </c>
      <c r="B27" s="42" t="s">
        <v>75</v>
      </c>
      <c r="C27" s="68">
        <v>1200</v>
      </c>
      <c r="D27" s="63">
        <v>20400</v>
      </c>
      <c r="E27" s="511">
        <f t="shared" si="9"/>
        <v>15200</v>
      </c>
      <c r="F27" s="460">
        <v>400</v>
      </c>
      <c r="G27" s="518">
        <f t="shared" si="10"/>
        <v>200</v>
      </c>
      <c r="H27" s="453">
        <v>0</v>
      </c>
      <c r="I27" s="66">
        <f t="shared" si="0"/>
        <v>22000</v>
      </c>
      <c r="J27" s="491">
        <f t="shared" si="4"/>
        <v>16600</v>
      </c>
      <c r="K27" s="460">
        <f t="shared" si="5"/>
        <v>20750</v>
      </c>
      <c r="L27" s="484">
        <f t="shared" si="11"/>
        <v>57.596240796561226</v>
      </c>
      <c r="U27" s="420">
        <f t="shared" si="2"/>
        <v>0</v>
      </c>
      <c r="V27" s="421">
        <f t="shared" si="14"/>
        <v>0</v>
      </c>
      <c r="W27" s="408">
        <f t="shared" si="8"/>
        <v>0</v>
      </c>
      <c r="X27" s="409">
        <f t="shared" si="12"/>
        <v>0</v>
      </c>
    </row>
    <row r="28" spans="1:24" s="21" customFormat="1" ht="16.5" customHeight="1">
      <c r="A28" s="427" t="s">
        <v>50</v>
      </c>
      <c r="B28" s="42" t="s">
        <v>75</v>
      </c>
      <c r="C28" s="64">
        <v>0</v>
      </c>
      <c r="D28" s="63">
        <v>16600</v>
      </c>
      <c r="E28" s="511">
        <f t="shared" si="9"/>
        <v>13300</v>
      </c>
      <c r="F28" s="447">
        <v>0</v>
      </c>
      <c r="G28" s="519">
        <v>0</v>
      </c>
      <c r="H28" s="453">
        <v>0</v>
      </c>
      <c r="I28" s="66">
        <f t="shared" si="0"/>
        <v>16600</v>
      </c>
      <c r="J28" s="491">
        <f t="shared" si="4"/>
        <v>13300</v>
      </c>
      <c r="K28" s="460">
        <f t="shared" si="5"/>
        <v>16625</v>
      </c>
      <c r="L28" s="484">
        <f t="shared" si="11"/>
        <v>46.146385698449656</v>
      </c>
      <c r="O28" s="51"/>
      <c r="P28" s="52"/>
      <c r="Q28" s="54"/>
      <c r="R28" s="53"/>
      <c r="S28" s="51"/>
      <c r="U28" s="420">
        <f t="shared" si="2"/>
        <v>0</v>
      </c>
      <c r="V28" s="421">
        <f t="shared" si="14"/>
        <v>0</v>
      </c>
      <c r="W28" s="408">
        <f t="shared" si="8"/>
        <v>0</v>
      </c>
      <c r="X28" s="409">
        <f t="shared" si="12"/>
        <v>0</v>
      </c>
    </row>
    <row r="29" spans="1:24" s="21" customFormat="1" ht="16.5" customHeight="1">
      <c r="A29" s="427" t="s">
        <v>51</v>
      </c>
      <c r="B29" s="42" t="s">
        <v>75</v>
      </c>
      <c r="C29" s="68">
        <v>800</v>
      </c>
      <c r="D29" s="63">
        <v>22000</v>
      </c>
      <c r="E29" s="511">
        <f t="shared" si="9"/>
        <v>16000</v>
      </c>
      <c r="F29" s="460">
        <v>1800</v>
      </c>
      <c r="G29" s="518">
        <f t="shared" si="10"/>
        <v>900</v>
      </c>
      <c r="H29" s="453">
        <v>0</v>
      </c>
      <c r="I29" s="66">
        <f t="shared" si="0"/>
        <v>24600</v>
      </c>
      <c r="J29" s="491">
        <f t="shared" si="4"/>
        <v>17700</v>
      </c>
      <c r="K29" s="460">
        <f t="shared" si="5"/>
        <v>22125</v>
      </c>
      <c r="L29" s="484">
        <f t="shared" si="11"/>
        <v>61.412859162598416</v>
      </c>
      <c r="O29" s="51"/>
      <c r="P29" s="52"/>
      <c r="Q29" s="54"/>
      <c r="R29" s="55"/>
      <c r="S29" s="51"/>
      <c r="U29" s="420">
        <f t="shared" si="2"/>
        <v>0</v>
      </c>
      <c r="V29" s="421">
        <f t="shared" si="14"/>
        <v>0</v>
      </c>
      <c r="W29" s="408">
        <f t="shared" si="8"/>
        <v>0</v>
      </c>
      <c r="X29" s="409">
        <f t="shared" si="12"/>
        <v>0</v>
      </c>
    </row>
    <row r="30" spans="1:24" s="21" customFormat="1" ht="16.5" customHeight="1">
      <c r="A30" s="427" t="s">
        <v>52</v>
      </c>
      <c r="B30" s="42" t="s">
        <v>75</v>
      </c>
      <c r="C30" s="64">
        <v>0</v>
      </c>
      <c r="D30" s="63">
        <v>14000</v>
      </c>
      <c r="E30" s="511">
        <f t="shared" si="9"/>
        <v>12000</v>
      </c>
      <c r="F30" s="447">
        <v>1600</v>
      </c>
      <c r="G30" s="518">
        <f t="shared" si="10"/>
        <v>800</v>
      </c>
      <c r="H30" s="453">
        <v>0</v>
      </c>
      <c r="I30" s="66">
        <f t="shared" si="0"/>
        <v>15600</v>
      </c>
      <c r="J30" s="491">
        <f t="shared" si="4"/>
        <v>12800</v>
      </c>
      <c r="K30" s="460">
        <f t="shared" si="5"/>
        <v>16000</v>
      </c>
      <c r="L30" s="484">
        <f t="shared" si="11"/>
        <v>44.411559168432753</v>
      </c>
      <c r="O30" s="51"/>
      <c r="P30" s="4"/>
      <c r="Q30" s="57"/>
      <c r="R30" s="56"/>
      <c r="S30" s="51"/>
      <c r="U30" s="420">
        <f t="shared" si="2"/>
        <v>0</v>
      </c>
      <c r="V30" s="421">
        <f t="shared" si="14"/>
        <v>0</v>
      </c>
      <c r="W30" s="408">
        <f t="shared" si="8"/>
        <v>0</v>
      </c>
      <c r="X30" s="409">
        <f t="shared" si="12"/>
        <v>0</v>
      </c>
    </row>
    <row r="31" spans="1:24" s="21" customFormat="1" ht="16.5" customHeight="1">
      <c r="A31" s="427" t="s">
        <v>54</v>
      </c>
      <c r="B31" s="42" t="s">
        <v>75</v>
      </c>
      <c r="C31" s="64">
        <v>0</v>
      </c>
      <c r="D31" s="63">
        <v>31000</v>
      </c>
      <c r="E31" s="511">
        <f t="shared" si="9"/>
        <v>20500</v>
      </c>
      <c r="F31" s="447">
        <v>0</v>
      </c>
      <c r="G31" s="519">
        <v>0</v>
      </c>
      <c r="H31" s="453">
        <v>0</v>
      </c>
      <c r="I31" s="66">
        <f t="shared" si="0"/>
        <v>31000</v>
      </c>
      <c r="J31" s="491">
        <f t="shared" si="4"/>
        <v>20500</v>
      </c>
      <c r="K31" s="460">
        <f t="shared" si="5"/>
        <v>25625</v>
      </c>
      <c r="L31" s="484">
        <f t="shared" si="11"/>
        <v>71.127887730693089</v>
      </c>
      <c r="P31" s="1"/>
      <c r="Q31" s="20"/>
      <c r="R31" s="50"/>
      <c r="U31" s="420">
        <f t="shared" si="2"/>
        <v>0</v>
      </c>
      <c r="V31" s="421">
        <f t="shared" si="14"/>
        <v>0</v>
      </c>
      <c r="W31" s="408">
        <f t="shared" si="8"/>
        <v>0</v>
      </c>
      <c r="X31" s="409">
        <f t="shared" si="12"/>
        <v>0</v>
      </c>
    </row>
    <row r="32" spans="1:24" s="21" customFormat="1" ht="16.5" customHeight="1">
      <c r="A32" s="427" t="s">
        <v>55</v>
      </c>
      <c r="B32" s="42" t="s">
        <v>75</v>
      </c>
      <c r="C32" s="64">
        <v>0</v>
      </c>
      <c r="D32" s="63">
        <v>14600</v>
      </c>
      <c r="E32" s="511">
        <f t="shared" si="9"/>
        <v>12300</v>
      </c>
      <c r="F32" s="460">
        <v>0</v>
      </c>
      <c r="G32" s="519">
        <v>0</v>
      </c>
      <c r="H32" s="453">
        <v>0</v>
      </c>
      <c r="I32" s="66">
        <f t="shared" si="0"/>
        <v>14600</v>
      </c>
      <c r="J32" s="491">
        <f t="shared" si="4"/>
        <v>12300</v>
      </c>
      <c r="K32" s="460">
        <f t="shared" si="5"/>
        <v>15375</v>
      </c>
      <c r="L32" s="484">
        <f t="shared" si="11"/>
        <v>42.676732638415849</v>
      </c>
      <c r="P32" s="1"/>
      <c r="Q32" s="20"/>
      <c r="R32" s="50"/>
      <c r="U32" s="420">
        <f t="shared" si="2"/>
        <v>0</v>
      </c>
      <c r="V32" s="421">
        <f t="shared" si="14"/>
        <v>0</v>
      </c>
      <c r="W32" s="408">
        <f t="shared" si="8"/>
        <v>0</v>
      </c>
      <c r="X32" s="409">
        <f t="shared" si="12"/>
        <v>0</v>
      </c>
    </row>
    <row r="33" spans="1:24" s="21" customFormat="1" ht="16.5" customHeight="1">
      <c r="A33" s="427" t="s">
        <v>56</v>
      </c>
      <c r="B33" s="42" t="s">
        <v>75</v>
      </c>
      <c r="C33" s="64">
        <v>0</v>
      </c>
      <c r="D33" s="63">
        <v>32600</v>
      </c>
      <c r="E33" s="511">
        <f t="shared" si="9"/>
        <v>21300</v>
      </c>
      <c r="F33" s="447">
        <v>0</v>
      </c>
      <c r="G33" s="519">
        <v>0</v>
      </c>
      <c r="H33" s="453">
        <v>0</v>
      </c>
      <c r="I33" s="66">
        <f t="shared" si="0"/>
        <v>32600</v>
      </c>
      <c r="J33" s="491">
        <f t="shared" si="4"/>
        <v>21300</v>
      </c>
      <c r="K33" s="460">
        <f t="shared" si="5"/>
        <v>26625</v>
      </c>
      <c r="L33" s="484">
        <f t="shared" si="11"/>
        <v>73.903610178720115</v>
      </c>
      <c r="P33" s="1"/>
      <c r="Q33" s="20"/>
      <c r="R33" s="50"/>
      <c r="U33" s="420">
        <f t="shared" si="2"/>
        <v>0</v>
      </c>
      <c r="V33" s="421">
        <f t="shared" si="14"/>
        <v>0</v>
      </c>
      <c r="W33" s="408">
        <f t="shared" si="8"/>
        <v>0</v>
      </c>
      <c r="X33" s="409">
        <f t="shared" si="12"/>
        <v>0</v>
      </c>
    </row>
    <row r="34" spans="1:24" s="21" customFormat="1" ht="16.5" customHeight="1">
      <c r="A34" s="427" t="s">
        <v>57</v>
      </c>
      <c r="B34" s="42" t="s">
        <v>75</v>
      </c>
      <c r="C34" s="64">
        <v>0</v>
      </c>
      <c r="D34" s="63">
        <v>19800</v>
      </c>
      <c r="E34" s="511">
        <f t="shared" si="9"/>
        <v>14900</v>
      </c>
      <c r="F34" s="447">
        <v>0</v>
      </c>
      <c r="G34" s="519">
        <v>0</v>
      </c>
      <c r="H34" s="453">
        <v>0</v>
      </c>
      <c r="I34" s="66">
        <f t="shared" si="0"/>
        <v>19800</v>
      </c>
      <c r="J34" s="491">
        <f t="shared" si="4"/>
        <v>14900</v>
      </c>
      <c r="K34" s="460">
        <f t="shared" si="5"/>
        <v>18625</v>
      </c>
      <c r="L34" s="484">
        <f t="shared" si="11"/>
        <v>51.697830594503749</v>
      </c>
      <c r="P34" s="1"/>
      <c r="Q34" s="20"/>
      <c r="R34" s="50"/>
      <c r="U34" s="420">
        <f t="shared" si="2"/>
        <v>0</v>
      </c>
      <c r="V34" s="421">
        <f t="shared" si="14"/>
        <v>0</v>
      </c>
      <c r="W34" s="408">
        <f t="shared" si="8"/>
        <v>0</v>
      </c>
      <c r="X34" s="409">
        <f t="shared" si="12"/>
        <v>0</v>
      </c>
    </row>
    <row r="35" spans="1:24" s="21" customFormat="1" ht="16.5" customHeight="1">
      <c r="A35" s="427" t="s">
        <v>59</v>
      </c>
      <c r="B35" s="42" t="s">
        <v>75</v>
      </c>
      <c r="C35" s="64">
        <v>0</v>
      </c>
      <c r="D35" s="63">
        <v>17400</v>
      </c>
      <c r="E35" s="511">
        <f t="shared" si="9"/>
        <v>13700</v>
      </c>
      <c r="F35" s="447">
        <v>0</v>
      </c>
      <c r="G35" s="519">
        <v>0</v>
      </c>
      <c r="H35" s="453">
        <v>0</v>
      </c>
      <c r="I35" s="66">
        <f t="shared" si="0"/>
        <v>17400</v>
      </c>
      <c r="J35" s="491">
        <f t="shared" si="4"/>
        <v>13700</v>
      </c>
      <c r="K35" s="460">
        <f t="shared" si="5"/>
        <v>17125</v>
      </c>
      <c r="L35" s="484">
        <f t="shared" si="11"/>
        <v>47.534246922463183</v>
      </c>
      <c r="P35" s="1"/>
      <c r="Q35" s="20"/>
      <c r="R35" s="50"/>
      <c r="U35" s="420">
        <f t="shared" si="2"/>
        <v>0</v>
      </c>
      <c r="V35" s="421">
        <f t="shared" si="14"/>
        <v>0</v>
      </c>
      <c r="W35" s="408">
        <f t="shared" si="8"/>
        <v>0</v>
      </c>
      <c r="X35" s="409">
        <f t="shared" si="12"/>
        <v>0</v>
      </c>
    </row>
    <row r="36" spans="1:24" s="21" customFormat="1" ht="16.5" customHeight="1">
      <c r="A36" s="427" t="s">
        <v>60</v>
      </c>
      <c r="B36" s="42" t="s">
        <v>75</v>
      </c>
      <c r="C36" s="64">
        <v>0</v>
      </c>
      <c r="D36" s="63">
        <v>25000</v>
      </c>
      <c r="E36" s="511">
        <f t="shared" si="9"/>
        <v>17500</v>
      </c>
      <c r="F36" s="447">
        <v>0</v>
      </c>
      <c r="G36" s="519">
        <v>0</v>
      </c>
      <c r="H36" s="453">
        <v>0</v>
      </c>
      <c r="I36" s="66">
        <f t="shared" ref="I36:I67" si="15">SUM(C36,D36,F36,H36)</f>
        <v>25000</v>
      </c>
      <c r="J36" s="491">
        <f t="shared" si="4"/>
        <v>17500</v>
      </c>
      <c r="K36" s="460">
        <f t="shared" si="5"/>
        <v>21875</v>
      </c>
      <c r="L36" s="484">
        <f t="shared" si="11"/>
        <v>60.718928550591656</v>
      </c>
      <c r="P36" s="1"/>
      <c r="Q36" s="20"/>
      <c r="R36" s="50"/>
      <c r="U36" s="420">
        <f t="shared" ref="U36:U67" si="16">SUM(O36,P36,R36,T36)</f>
        <v>0</v>
      </c>
      <c r="V36" s="421">
        <f t="shared" si="14"/>
        <v>0</v>
      </c>
      <c r="W36" s="408">
        <f t="shared" si="8"/>
        <v>0</v>
      </c>
      <c r="X36" s="409">
        <f t="shared" si="12"/>
        <v>0</v>
      </c>
    </row>
    <row r="37" spans="1:24" s="21" customFormat="1" ht="16.5" customHeight="1">
      <c r="A37" s="427" t="s">
        <v>61</v>
      </c>
      <c r="B37" s="42" t="s">
        <v>75</v>
      </c>
      <c r="C37" s="64">
        <v>0</v>
      </c>
      <c r="D37" s="63">
        <v>28600</v>
      </c>
      <c r="E37" s="511">
        <f t="shared" si="9"/>
        <v>19300</v>
      </c>
      <c r="F37" s="447">
        <v>0</v>
      </c>
      <c r="G37" s="519">
        <v>0</v>
      </c>
      <c r="H37" s="453">
        <v>0</v>
      </c>
      <c r="I37" s="66">
        <f t="shared" si="15"/>
        <v>28600</v>
      </c>
      <c r="J37" s="491">
        <f t="shared" si="4"/>
        <v>19300</v>
      </c>
      <c r="K37" s="460">
        <f t="shared" si="5"/>
        <v>24125</v>
      </c>
      <c r="L37" s="484">
        <f t="shared" si="11"/>
        <v>66.964304058652516</v>
      </c>
      <c r="P37" s="1"/>
      <c r="Q37" s="20"/>
      <c r="R37" s="50"/>
      <c r="U37" s="420">
        <f t="shared" si="16"/>
        <v>0</v>
      </c>
      <c r="V37" s="421">
        <f t="shared" si="14"/>
        <v>0</v>
      </c>
      <c r="W37" s="408">
        <f t="shared" si="8"/>
        <v>0</v>
      </c>
      <c r="X37" s="409">
        <f t="shared" si="12"/>
        <v>0</v>
      </c>
    </row>
    <row r="38" spans="1:24" s="21" customFormat="1" ht="16.5" customHeight="1">
      <c r="A38" s="427" t="s">
        <v>4</v>
      </c>
      <c r="B38" s="42" t="s">
        <v>75</v>
      </c>
      <c r="C38" s="64">
        <v>0</v>
      </c>
      <c r="D38" s="63">
        <v>30400</v>
      </c>
      <c r="E38" s="511">
        <f t="shared" si="9"/>
        <v>20200</v>
      </c>
      <c r="F38" s="447">
        <v>1400</v>
      </c>
      <c r="G38" s="518">
        <f t="shared" si="10"/>
        <v>700</v>
      </c>
      <c r="H38" s="453">
        <v>0</v>
      </c>
      <c r="I38" s="66">
        <f t="shared" si="15"/>
        <v>31800</v>
      </c>
      <c r="J38" s="491">
        <f t="shared" si="4"/>
        <v>20900</v>
      </c>
      <c r="K38" s="460">
        <f t="shared" si="5"/>
        <v>26125</v>
      </c>
      <c r="L38" s="484">
        <f t="shared" si="11"/>
        <v>72.515748954706609</v>
      </c>
      <c r="P38" s="1"/>
      <c r="Q38" s="20"/>
      <c r="R38" s="50"/>
      <c r="U38" s="420">
        <f t="shared" si="16"/>
        <v>0</v>
      </c>
      <c r="V38" s="421">
        <f t="shared" si="14"/>
        <v>0</v>
      </c>
      <c r="W38" s="408">
        <f t="shared" si="8"/>
        <v>0</v>
      </c>
      <c r="X38" s="409">
        <f t="shared" si="12"/>
        <v>0</v>
      </c>
    </row>
    <row r="39" spans="1:24" s="21" customFormat="1" ht="16.5" customHeight="1">
      <c r="A39" s="427" t="s">
        <v>22</v>
      </c>
      <c r="B39" s="42" t="s">
        <v>75</v>
      </c>
      <c r="C39" s="64">
        <v>0</v>
      </c>
      <c r="D39" s="63">
        <v>29130</v>
      </c>
      <c r="E39" s="511">
        <f t="shared" si="9"/>
        <v>19565</v>
      </c>
      <c r="F39" s="460">
        <v>7000</v>
      </c>
      <c r="G39" s="518">
        <f t="shared" si="10"/>
        <v>3500</v>
      </c>
      <c r="H39" s="453">
        <v>0</v>
      </c>
      <c r="I39" s="66">
        <f t="shared" si="15"/>
        <v>36130</v>
      </c>
      <c r="J39" s="491">
        <f t="shared" si="4"/>
        <v>23065</v>
      </c>
      <c r="K39" s="460">
        <f t="shared" si="5"/>
        <v>28831.25</v>
      </c>
      <c r="L39" s="484">
        <f t="shared" si="11"/>
        <v>80.027547829679804</v>
      </c>
      <c r="P39" s="1"/>
      <c r="Q39" s="20"/>
      <c r="R39" s="50"/>
      <c r="U39" s="420">
        <f t="shared" si="16"/>
        <v>0</v>
      </c>
      <c r="V39" s="421">
        <f t="shared" si="14"/>
        <v>0</v>
      </c>
      <c r="W39" s="408">
        <f t="shared" si="8"/>
        <v>0</v>
      </c>
      <c r="X39" s="409">
        <f t="shared" si="12"/>
        <v>0</v>
      </c>
    </row>
    <row r="40" spans="1:24" s="21" customFormat="1" ht="16.5" customHeight="1">
      <c r="A40" s="427" t="s">
        <v>23</v>
      </c>
      <c r="B40" s="42" t="s">
        <v>75</v>
      </c>
      <c r="C40" s="64">
        <v>0</v>
      </c>
      <c r="D40" s="63">
        <v>44070</v>
      </c>
      <c r="E40" s="511">
        <f t="shared" si="9"/>
        <v>27035</v>
      </c>
      <c r="F40" s="460">
        <v>3600</v>
      </c>
      <c r="G40" s="518">
        <f t="shared" si="10"/>
        <v>1800</v>
      </c>
      <c r="H40" s="454">
        <v>800</v>
      </c>
      <c r="I40" s="66">
        <f t="shared" si="15"/>
        <v>48470</v>
      </c>
      <c r="J40" s="491">
        <f t="shared" si="4"/>
        <v>29635</v>
      </c>
      <c r="K40" s="460">
        <f t="shared" si="5"/>
        <v>37043.75</v>
      </c>
      <c r="L40" s="499">
        <f t="shared" si="11"/>
        <v>102.82316843410193</v>
      </c>
      <c r="P40" s="1"/>
      <c r="Q40" s="20"/>
      <c r="R40" s="50"/>
      <c r="U40" s="420">
        <f t="shared" si="16"/>
        <v>0</v>
      </c>
      <c r="V40" s="421">
        <f t="shared" si="14"/>
        <v>0</v>
      </c>
      <c r="W40" s="408">
        <f t="shared" si="8"/>
        <v>0</v>
      </c>
      <c r="X40" s="409">
        <f t="shared" si="12"/>
        <v>0</v>
      </c>
    </row>
    <row r="41" spans="1:24" s="21" customFormat="1" ht="16.5" customHeight="1">
      <c r="A41" s="427" t="s">
        <v>24</v>
      </c>
      <c r="B41" s="42" t="s">
        <v>75</v>
      </c>
      <c r="C41" s="64">
        <v>0</v>
      </c>
      <c r="D41" s="63">
        <v>41220</v>
      </c>
      <c r="E41" s="511">
        <f t="shared" si="9"/>
        <v>25610</v>
      </c>
      <c r="F41" s="460">
        <v>4800</v>
      </c>
      <c r="G41" s="518">
        <f t="shared" si="10"/>
        <v>2400</v>
      </c>
      <c r="H41" s="453">
        <v>0</v>
      </c>
      <c r="I41" s="66">
        <f t="shared" si="15"/>
        <v>46020</v>
      </c>
      <c r="J41" s="491">
        <f t="shared" si="4"/>
        <v>28010</v>
      </c>
      <c r="K41" s="460">
        <f t="shared" si="5"/>
        <v>35012.5</v>
      </c>
      <c r="L41" s="484">
        <f t="shared" si="11"/>
        <v>97.184982211546995</v>
      </c>
      <c r="P41" s="1"/>
      <c r="Q41" s="20"/>
      <c r="R41" s="50"/>
      <c r="U41" s="420">
        <f t="shared" si="16"/>
        <v>0</v>
      </c>
      <c r="V41" s="421">
        <f t="shared" si="14"/>
        <v>0</v>
      </c>
      <c r="W41" s="408">
        <f t="shared" si="8"/>
        <v>0</v>
      </c>
      <c r="X41" s="409">
        <f t="shared" si="12"/>
        <v>0</v>
      </c>
    </row>
    <row r="42" spans="1:24" s="21" customFormat="1" ht="16.5" customHeight="1">
      <c r="A42" s="427" t="s">
        <v>63</v>
      </c>
      <c r="B42" s="42" t="s">
        <v>75</v>
      </c>
      <c r="C42" s="64">
        <v>0</v>
      </c>
      <c r="D42" s="63">
        <v>13200</v>
      </c>
      <c r="E42" s="511">
        <f t="shared" si="9"/>
        <v>11600</v>
      </c>
      <c r="F42" s="460">
        <v>0</v>
      </c>
      <c r="G42" s="519">
        <v>0</v>
      </c>
      <c r="H42" s="453">
        <v>0</v>
      </c>
      <c r="I42" s="66">
        <f t="shared" si="15"/>
        <v>13200</v>
      </c>
      <c r="J42" s="491">
        <f t="shared" si="4"/>
        <v>11600</v>
      </c>
      <c r="K42" s="460">
        <f t="shared" si="5"/>
        <v>14500</v>
      </c>
      <c r="L42" s="484">
        <f t="shared" si="11"/>
        <v>40.247975496392186</v>
      </c>
      <c r="P42" s="1"/>
      <c r="Q42" s="20"/>
      <c r="R42" s="50"/>
      <c r="U42" s="420">
        <f t="shared" si="16"/>
        <v>0</v>
      </c>
      <c r="V42" s="421">
        <f t="shared" si="14"/>
        <v>0</v>
      </c>
      <c r="W42" s="408">
        <f t="shared" si="8"/>
        <v>0</v>
      </c>
      <c r="X42" s="409">
        <f t="shared" si="12"/>
        <v>0</v>
      </c>
    </row>
    <row r="43" spans="1:24" s="21" customFormat="1" ht="16.5" customHeight="1">
      <c r="A43" s="427" t="s">
        <v>64</v>
      </c>
      <c r="B43" s="42" t="s">
        <v>75</v>
      </c>
      <c r="C43" s="70">
        <v>6000</v>
      </c>
      <c r="D43" s="63">
        <v>4400</v>
      </c>
      <c r="E43" s="511">
        <f t="shared" si="9"/>
        <v>4400</v>
      </c>
      <c r="F43" s="460">
        <v>400</v>
      </c>
      <c r="G43" s="518">
        <f t="shared" si="10"/>
        <v>200</v>
      </c>
      <c r="H43" s="453">
        <v>0</v>
      </c>
      <c r="I43" s="66">
        <f t="shared" si="15"/>
        <v>10800</v>
      </c>
      <c r="J43" s="491">
        <f t="shared" si="4"/>
        <v>10600</v>
      </c>
      <c r="K43" s="460">
        <f t="shared" si="5"/>
        <v>13250</v>
      </c>
      <c r="L43" s="484">
        <f t="shared" si="11"/>
        <v>36.778322436358373</v>
      </c>
      <c r="P43" s="1"/>
      <c r="Q43" s="20"/>
      <c r="R43" s="50"/>
      <c r="U43" s="420">
        <f t="shared" si="16"/>
        <v>0</v>
      </c>
      <c r="V43" s="421">
        <f t="shared" si="14"/>
        <v>0</v>
      </c>
      <c r="W43" s="408">
        <f t="shared" si="8"/>
        <v>0</v>
      </c>
      <c r="X43" s="409">
        <f t="shared" si="12"/>
        <v>0</v>
      </c>
    </row>
    <row r="44" spans="1:24" s="21" customFormat="1" ht="16.5" customHeight="1">
      <c r="A44" s="427" t="s">
        <v>32</v>
      </c>
      <c r="B44" s="42" t="s">
        <v>75</v>
      </c>
      <c r="C44" s="64">
        <v>0</v>
      </c>
      <c r="D44" s="63">
        <v>35010</v>
      </c>
      <c r="E44" s="511">
        <f t="shared" si="9"/>
        <v>22505</v>
      </c>
      <c r="F44" s="460">
        <v>1400</v>
      </c>
      <c r="G44" s="518">
        <f t="shared" si="10"/>
        <v>700</v>
      </c>
      <c r="H44" s="453">
        <v>0</v>
      </c>
      <c r="I44" s="66">
        <f t="shared" si="15"/>
        <v>36410</v>
      </c>
      <c r="J44" s="491">
        <f t="shared" si="4"/>
        <v>23205</v>
      </c>
      <c r="K44" s="460">
        <f t="shared" si="5"/>
        <v>29006.25</v>
      </c>
      <c r="L44" s="484">
        <f t="shared" si="11"/>
        <v>80.51329925808453</v>
      </c>
      <c r="P44" s="1"/>
      <c r="Q44" s="20"/>
      <c r="R44" s="50"/>
      <c r="U44" s="420">
        <f t="shared" si="16"/>
        <v>0</v>
      </c>
      <c r="V44" s="421">
        <f t="shared" si="14"/>
        <v>0</v>
      </c>
      <c r="W44" s="408">
        <f t="shared" si="8"/>
        <v>0</v>
      </c>
      <c r="X44" s="409">
        <f t="shared" si="12"/>
        <v>0</v>
      </c>
    </row>
    <row r="45" spans="1:24" s="21" customFormat="1" ht="16.5" customHeight="1">
      <c r="A45" s="427" t="s">
        <v>35</v>
      </c>
      <c r="B45" s="42" t="s">
        <v>75</v>
      </c>
      <c r="C45" s="64">
        <v>0</v>
      </c>
      <c r="D45" s="63">
        <v>28000</v>
      </c>
      <c r="E45" s="511">
        <f t="shared" si="9"/>
        <v>19000</v>
      </c>
      <c r="F45" s="460">
        <v>5600</v>
      </c>
      <c r="G45" s="518">
        <f t="shared" si="10"/>
        <v>2800</v>
      </c>
      <c r="H45" s="453">
        <v>0</v>
      </c>
      <c r="I45" s="66">
        <f t="shared" si="15"/>
        <v>33600</v>
      </c>
      <c r="J45" s="491">
        <f t="shared" si="4"/>
        <v>21800</v>
      </c>
      <c r="K45" s="460">
        <f t="shared" si="5"/>
        <v>27250</v>
      </c>
      <c r="L45" s="484">
        <f t="shared" si="11"/>
        <v>75.638436708737032</v>
      </c>
      <c r="U45" s="420">
        <f t="shared" si="16"/>
        <v>0</v>
      </c>
      <c r="V45" s="421">
        <f t="shared" si="14"/>
        <v>0</v>
      </c>
      <c r="W45" s="408">
        <f t="shared" si="8"/>
        <v>0</v>
      </c>
      <c r="X45" s="409">
        <f t="shared" si="12"/>
        <v>0</v>
      </c>
    </row>
    <row r="46" spans="1:24" s="21" customFormat="1" ht="16.5" customHeight="1">
      <c r="A46" s="427" t="s">
        <v>40</v>
      </c>
      <c r="B46" s="42" t="s">
        <v>75</v>
      </c>
      <c r="C46" s="64">
        <v>0</v>
      </c>
      <c r="D46" s="63">
        <v>2000</v>
      </c>
      <c r="E46" s="511">
        <f t="shared" si="9"/>
        <v>2000</v>
      </c>
      <c r="F46" s="460">
        <v>2000</v>
      </c>
      <c r="G46" s="518">
        <f t="shared" si="10"/>
        <v>1000</v>
      </c>
      <c r="H46" s="453">
        <v>0</v>
      </c>
      <c r="I46" s="66">
        <f t="shared" si="15"/>
        <v>4000</v>
      </c>
      <c r="J46" s="491">
        <f t="shared" si="4"/>
        <v>3000</v>
      </c>
      <c r="K46" s="460">
        <f t="shared" si="5"/>
        <v>3750</v>
      </c>
      <c r="L46" s="484">
        <f t="shared" si="11"/>
        <v>10.408959180101427</v>
      </c>
      <c r="U46" s="420">
        <f t="shared" si="16"/>
        <v>0</v>
      </c>
      <c r="V46" s="421">
        <f t="shared" si="14"/>
        <v>0</v>
      </c>
      <c r="W46" s="408">
        <f t="shared" si="8"/>
        <v>0</v>
      </c>
      <c r="X46" s="409">
        <f t="shared" si="12"/>
        <v>0</v>
      </c>
    </row>
    <row r="47" spans="1:24" s="21" customFormat="1" ht="16.5" customHeight="1">
      <c r="A47" s="427" t="s">
        <v>44</v>
      </c>
      <c r="B47" s="42" t="s">
        <v>75</v>
      </c>
      <c r="C47" s="64">
        <v>0</v>
      </c>
      <c r="D47" s="63">
        <v>3000</v>
      </c>
      <c r="E47" s="511">
        <f t="shared" si="9"/>
        <v>3000</v>
      </c>
      <c r="F47" s="460">
        <v>1800</v>
      </c>
      <c r="G47" s="518">
        <f t="shared" si="10"/>
        <v>900</v>
      </c>
      <c r="H47" s="453">
        <v>0</v>
      </c>
      <c r="I47" s="66">
        <f t="shared" si="15"/>
        <v>4800</v>
      </c>
      <c r="J47" s="491">
        <f t="shared" si="4"/>
        <v>3900</v>
      </c>
      <c r="K47" s="460">
        <f t="shared" si="5"/>
        <v>4875</v>
      </c>
      <c r="L47" s="484">
        <f t="shared" si="11"/>
        <v>13.531646934131855</v>
      </c>
      <c r="U47" s="420">
        <f t="shared" si="16"/>
        <v>0</v>
      </c>
      <c r="V47" s="421">
        <f t="shared" si="14"/>
        <v>0</v>
      </c>
      <c r="W47" s="408">
        <f t="shared" si="8"/>
        <v>0</v>
      </c>
      <c r="X47" s="409">
        <f t="shared" si="12"/>
        <v>0</v>
      </c>
    </row>
    <row r="48" spans="1:24" s="21" customFormat="1" ht="16.5" customHeight="1">
      <c r="A48" s="427" t="s">
        <v>49</v>
      </c>
      <c r="B48" s="42" t="s">
        <v>75</v>
      </c>
      <c r="C48" s="64">
        <v>0</v>
      </c>
      <c r="D48" s="63">
        <v>9400</v>
      </c>
      <c r="E48" s="511">
        <f t="shared" si="9"/>
        <v>9400</v>
      </c>
      <c r="F48" s="460">
        <v>1600</v>
      </c>
      <c r="G48" s="518">
        <f t="shared" si="10"/>
        <v>800</v>
      </c>
      <c r="H48" s="453">
        <v>0</v>
      </c>
      <c r="I48" s="66">
        <f t="shared" si="15"/>
        <v>11000</v>
      </c>
      <c r="J48" s="491">
        <f t="shared" si="4"/>
        <v>10200</v>
      </c>
      <c r="K48" s="460">
        <f t="shared" si="5"/>
        <v>12750</v>
      </c>
      <c r="L48" s="484">
        <f t="shared" si="11"/>
        <v>35.390461212344846</v>
      </c>
      <c r="U48" s="420">
        <f t="shared" si="16"/>
        <v>0</v>
      </c>
      <c r="V48" s="421">
        <f t="shared" si="14"/>
        <v>0</v>
      </c>
      <c r="W48" s="408">
        <f t="shared" si="8"/>
        <v>0</v>
      </c>
      <c r="X48" s="409">
        <f t="shared" si="12"/>
        <v>0</v>
      </c>
    </row>
    <row r="49" spans="1:24" s="21" customFormat="1" ht="16.5" customHeight="1">
      <c r="A49" s="427" t="s">
        <v>53</v>
      </c>
      <c r="B49" s="42" t="s">
        <v>75</v>
      </c>
      <c r="C49" s="64">
        <v>0</v>
      </c>
      <c r="D49" s="63">
        <v>11000</v>
      </c>
      <c r="E49" s="511">
        <f t="shared" si="9"/>
        <v>10500</v>
      </c>
      <c r="F49" s="460">
        <v>1600</v>
      </c>
      <c r="G49" s="518">
        <f t="shared" si="10"/>
        <v>800</v>
      </c>
      <c r="H49" s="453">
        <v>0</v>
      </c>
      <c r="I49" s="66">
        <f t="shared" si="15"/>
        <v>12600</v>
      </c>
      <c r="J49" s="491">
        <f t="shared" si="4"/>
        <v>11300</v>
      </c>
      <c r="K49" s="460">
        <f t="shared" si="5"/>
        <v>14125</v>
      </c>
      <c r="L49" s="484">
        <f t="shared" si="11"/>
        <v>39.207079578382036</v>
      </c>
      <c r="U49" s="420">
        <f t="shared" si="16"/>
        <v>0</v>
      </c>
      <c r="V49" s="421">
        <f t="shared" si="14"/>
        <v>0</v>
      </c>
      <c r="W49" s="408">
        <f t="shared" si="8"/>
        <v>0</v>
      </c>
      <c r="X49" s="409">
        <f t="shared" si="12"/>
        <v>0</v>
      </c>
    </row>
    <row r="50" spans="1:24" s="21" customFormat="1" ht="16.5" customHeight="1">
      <c r="A50" s="427" t="s">
        <v>58</v>
      </c>
      <c r="B50" s="42" t="s">
        <v>75</v>
      </c>
      <c r="C50" s="64">
        <v>0</v>
      </c>
      <c r="D50" s="63">
        <v>5000</v>
      </c>
      <c r="E50" s="511">
        <f t="shared" si="9"/>
        <v>5000</v>
      </c>
      <c r="F50" s="447">
        <v>0</v>
      </c>
      <c r="G50" s="519">
        <v>0</v>
      </c>
      <c r="H50" s="453">
        <v>0</v>
      </c>
      <c r="I50" s="66">
        <f t="shared" si="15"/>
        <v>5000</v>
      </c>
      <c r="J50" s="491">
        <f t="shared" si="4"/>
        <v>5000</v>
      </c>
      <c r="K50" s="460">
        <f t="shared" si="5"/>
        <v>6250</v>
      </c>
      <c r="L50" s="484">
        <f t="shared" si="11"/>
        <v>17.348265300169043</v>
      </c>
      <c r="U50" s="420">
        <f t="shared" si="16"/>
        <v>0</v>
      </c>
      <c r="V50" s="421">
        <f t="shared" si="14"/>
        <v>0</v>
      </c>
      <c r="W50" s="408">
        <f t="shared" si="8"/>
        <v>0</v>
      </c>
      <c r="X50" s="409">
        <f t="shared" si="12"/>
        <v>0</v>
      </c>
    </row>
    <row r="51" spans="1:24" s="21" customFormat="1" ht="16.5" customHeight="1">
      <c r="A51" s="427" t="s">
        <v>62</v>
      </c>
      <c r="B51" s="42" t="s">
        <v>75</v>
      </c>
      <c r="C51" s="64">
        <v>0</v>
      </c>
      <c r="D51" s="63">
        <v>8400</v>
      </c>
      <c r="E51" s="511">
        <f t="shared" si="9"/>
        <v>8400</v>
      </c>
      <c r="F51" s="460">
        <v>0</v>
      </c>
      <c r="G51" s="519">
        <v>0</v>
      </c>
      <c r="H51" s="453">
        <v>0</v>
      </c>
      <c r="I51" s="66">
        <f t="shared" si="15"/>
        <v>8400</v>
      </c>
      <c r="J51" s="491">
        <f t="shared" si="4"/>
        <v>8400</v>
      </c>
      <c r="K51" s="460">
        <f t="shared" si="5"/>
        <v>10500</v>
      </c>
      <c r="L51" s="484">
        <f t="shared" si="11"/>
        <v>29.145085704283996</v>
      </c>
      <c r="M51" s="20"/>
      <c r="U51" s="420">
        <f t="shared" si="16"/>
        <v>0</v>
      </c>
      <c r="V51" s="421">
        <f t="shared" si="14"/>
        <v>0</v>
      </c>
      <c r="W51" s="408">
        <f t="shared" si="8"/>
        <v>0</v>
      </c>
      <c r="X51" s="409">
        <f t="shared" si="12"/>
        <v>0</v>
      </c>
    </row>
    <row r="52" spans="1:24" s="21" customFormat="1" ht="16.5" customHeight="1">
      <c r="A52" s="427" t="s">
        <v>25</v>
      </c>
      <c r="B52" s="42" t="s">
        <v>75</v>
      </c>
      <c r="C52" s="64">
        <v>0</v>
      </c>
      <c r="D52" s="63">
        <v>10400</v>
      </c>
      <c r="E52" s="511">
        <f t="shared" si="9"/>
        <v>10200</v>
      </c>
      <c r="F52" s="460">
        <v>0</v>
      </c>
      <c r="G52" s="519">
        <v>0</v>
      </c>
      <c r="H52" s="453">
        <v>0</v>
      </c>
      <c r="I52" s="66">
        <f t="shared" si="15"/>
        <v>10400</v>
      </c>
      <c r="J52" s="491">
        <f t="shared" si="4"/>
        <v>10200</v>
      </c>
      <c r="K52" s="460">
        <f t="shared" si="5"/>
        <v>12750</v>
      </c>
      <c r="L52" s="484">
        <f t="shared" si="11"/>
        <v>35.390461212344846</v>
      </c>
      <c r="M52" s="20"/>
      <c r="U52" s="420">
        <f t="shared" si="16"/>
        <v>0</v>
      </c>
      <c r="V52" s="421">
        <f t="shared" si="14"/>
        <v>0</v>
      </c>
      <c r="W52" s="408">
        <f t="shared" si="8"/>
        <v>0</v>
      </c>
      <c r="X52" s="409">
        <f t="shared" si="12"/>
        <v>0</v>
      </c>
    </row>
    <row r="53" spans="1:24" s="21" customFormat="1" ht="16.5" customHeight="1" thickBot="1">
      <c r="A53" s="464" t="s">
        <v>26</v>
      </c>
      <c r="B53" s="465" t="s">
        <v>75</v>
      </c>
      <c r="C53" s="466">
        <v>0</v>
      </c>
      <c r="D53" s="467">
        <v>14600</v>
      </c>
      <c r="E53" s="512">
        <f>IF(D53&gt;10000,10000+(D53-10000)*0.5,D53)</f>
        <v>12300</v>
      </c>
      <c r="F53" s="468">
        <v>800</v>
      </c>
      <c r="G53" s="520">
        <f t="shared" si="10"/>
        <v>400</v>
      </c>
      <c r="H53" s="469">
        <v>0</v>
      </c>
      <c r="I53" s="67">
        <f t="shared" si="15"/>
        <v>15400</v>
      </c>
      <c r="J53" s="492">
        <f t="shared" si="4"/>
        <v>12700</v>
      </c>
      <c r="K53" s="461">
        <f t="shared" si="5"/>
        <v>15875</v>
      </c>
      <c r="L53" s="485">
        <f t="shared" si="11"/>
        <v>44.064593862429376</v>
      </c>
      <c r="M53" s="20"/>
      <c r="U53" s="420">
        <f t="shared" si="16"/>
        <v>0</v>
      </c>
      <c r="V53" s="421">
        <f t="shared" si="14"/>
        <v>0</v>
      </c>
      <c r="W53" s="408">
        <f t="shared" si="8"/>
        <v>0</v>
      </c>
      <c r="X53" s="409">
        <f t="shared" si="12"/>
        <v>0</v>
      </c>
    </row>
    <row r="54" spans="1:24" s="21" customFormat="1" ht="16.5" customHeight="1">
      <c r="A54" s="470" t="s">
        <v>80</v>
      </c>
      <c r="B54" s="471">
        <v>120</v>
      </c>
      <c r="C54" s="472">
        <v>6030</v>
      </c>
      <c r="D54" s="473">
        <v>0</v>
      </c>
      <c r="E54" s="506">
        <v>0</v>
      </c>
      <c r="F54" s="474">
        <v>0</v>
      </c>
      <c r="G54" s="521">
        <v>0</v>
      </c>
      <c r="H54" s="475">
        <v>0</v>
      </c>
      <c r="I54" s="486">
        <f t="shared" si="15"/>
        <v>6030</v>
      </c>
      <c r="J54" s="490">
        <f t="shared" si="4"/>
        <v>6030</v>
      </c>
      <c r="K54" s="495">
        <f t="shared" si="5"/>
        <v>7537.5</v>
      </c>
      <c r="L54" s="487">
        <f t="shared" si="11"/>
        <v>20.922007952003867</v>
      </c>
      <c r="M54" s="20"/>
      <c r="U54" s="420">
        <f t="shared" si="16"/>
        <v>0</v>
      </c>
      <c r="V54" s="421">
        <f t="shared" si="14"/>
        <v>0</v>
      </c>
      <c r="W54" s="408">
        <f t="shared" si="8"/>
        <v>0</v>
      </c>
      <c r="X54" s="409">
        <f t="shared" si="12"/>
        <v>0</v>
      </c>
    </row>
    <row r="55" spans="1:24" ht="16.5" customHeight="1">
      <c r="A55" s="430" t="s">
        <v>81</v>
      </c>
      <c r="B55" s="59">
        <v>120</v>
      </c>
      <c r="C55" s="162">
        <v>5400</v>
      </c>
      <c r="D55" s="422">
        <v>0</v>
      </c>
      <c r="E55" s="507">
        <v>0</v>
      </c>
      <c r="F55" s="462">
        <v>0</v>
      </c>
      <c r="G55" s="519">
        <v>0</v>
      </c>
      <c r="H55" s="453">
        <v>0</v>
      </c>
      <c r="I55" s="66">
        <f t="shared" si="15"/>
        <v>5400</v>
      </c>
      <c r="J55" s="491">
        <f t="shared" si="4"/>
        <v>5400</v>
      </c>
      <c r="K55" s="460">
        <f t="shared" si="5"/>
        <v>6750</v>
      </c>
      <c r="L55" s="484">
        <f t="shared" si="11"/>
        <v>18.73612652418257</v>
      </c>
      <c r="U55" s="420">
        <f t="shared" si="16"/>
        <v>0</v>
      </c>
      <c r="V55" s="421">
        <f t="shared" si="14"/>
        <v>0</v>
      </c>
      <c r="W55" s="408">
        <f t="shared" si="8"/>
        <v>0</v>
      </c>
      <c r="X55" s="409">
        <f t="shared" si="12"/>
        <v>0</v>
      </c>
    </row>
    <row r="56" spans="1:24" ht="16.5" customHeight="1">
      <c r="A56" s="430" t="s">
        <v>10</v>
      </c>
      <c r="B56" s="59">
        <v>120</v>
      </c>
      <c r="C56" s="162">
        <v>3230</v>
      </c>
      <c r="D56" s="422">
        <v>0</v>
      </c>
      <c r="E56" s="507">
        <v>0</v>
      </c>
      <c r="F56" s="462">
        <v>0</v>
      </c>
      <c r="G56" s="519">
        <v>0</v>
      </c>
      <c r="H56" s="453">
        <v>0</v>
      </c>
      <c r="I56" s="66">
        <f t="shared" si="15"/>
        <v>3230</v>
      </c>
      <c r="J56" s="491">
        <f t="shared" si="4"/>
        <v>3230</v>
      </c>
      <c r="K56" s="460">
        <f t="shared" si="5"/>
        <v>4037.5</v>
      </c>
      <c r="L56" s="484">
        <f t="shared" si="11"/>
        <v>11.206979383909204</v>
      </c>
      <c r="U56" s="420">
        <f t="shared" si="16"/>
        <v>0</v>
      </c>
      <c r="V56" s="421">
        <f t="shared" si="14"/>
        <v>0</v>
      </c>
      <c r="W56" s="408">
        <f t="shared" si="8"/>
        <v>0</v>
      </c>
      <c r="X56" s="409">
        <f t="shared" si="12"/>
        <v>0</v>
      </c>
    </row>
    <row r="57" spans="1:24" ht="16.5" customHeight="1">
      <c r="A57" s="430" t="s">
        <v>11</v>
      </c>
      <c r="B57" s="59">
        <v>120</v>
      </c>
      <c r="C57" s="162">
        <v>5640</v>
      </c>
      <c r="D57" s="422">
        <v>0</v>
      </c>
      <c r="E57" s="507">
        <v>0</v>
      </c>
      <c r="F57" s="462">
        <v>0</v>
      </c>
      <c r="G57" s="519">
        <v>0</v>
      </c>
      <c r="H57" s="453">
        <v>0</v>
      </c>
      <c r="I57" s="66">
        <f t="shared" si="15"/>
        <v>5640</v>
      </c>
      <c r="J57" s="491">
        <f t="shared" si="4"/>
        <v>5640</v>
      </c>
      <c r="K57" s="460">
        <f t="shared" si="5"/>
        <v>7050</v>
      </c>
      <c r="L57" s="484">
        <f t="shared" si="11"/>
        <v>19.568843258590679</v>
      </c>
      <c r="U57" s="420">
        <f t="shared" si="16"/>
        <v>0</v>
      </c>
      <c r="V57" s="421">
        <f t="shared" si="14"/>
        <v>0</v>
      </c>
      <c r="W57" s="408">
        <f t="shared" si="8"/>
        <v>0</v>
      </c>
      <c r="X57" s="409">
        <f t="shared" si="12"/>
        <v>0</v>
      </c>
    </row>
    <row r="58" spans="1:24" ht="16.5" customHeight="1">
      <c r="A58" s="430" t="s">
        <v>12</v>
      </c>
      <c r="B58" s="59">
        <v>120</v>
      </c>
      <c r="C58" s="162">
        <v>2280</v>
      </c>
      <c r="D58" s="422">
        <v>0</v>
      </c>
      <c r="E58" s="507">
        <v>0</v>
      </c>
      <c r="F58" s="462">
        <v>0</v>
      </c>
      <c r="G58" s="519">
        <v>0</v>
      </c>
      <c r="H58" s="453">
        <v>0</v>
      </c>
      <c r="I58" s="66">
        <f t="shared" si="15"/>
        <v>2280</v>
      </c>
      <c r="J58" s="491">
        <f t="shared" si="4"/>
        <v>2280</v>
      </c>
      <c r="K58" s="460">
        <f t="shared" si="5"/>
        <v>2850</v>
      </c>
      <c r="L58" s="484">
        <f t="shared" si="11"/>
        <v>7.9108089768770844</v>
      </c>
      <c r="U58" s="420">
        <f t="shared" si="16"/>
        <v>0</v>
      </c>
      <c r="V58" s="421">
        <f t="shared" si="14"/>
        <v>0</v>
      </c>
      <c r="W58" s="408">
        <f t="shared" si="8"/>
        <v>0</v>
      </c>
      <c r="X58" s="409">
        <f t="shared" si="12"/>
        <v>0</v>
      </c>
    </row>
    <row r="59" spans="1:24" ht="16.5" customHeight="1">
      <c r="A59" s="476" t="s">
        <v>13</v>
      </c>
      <c r="B59" s="477">
        <v>120</v>
      </c>
      <c r="C59" s="478">
        <v>5580</v>
      </c>
      <c r="D59" s="479">
        <v>0</v>
      </c>
      <c r="E59" s="508">
        <v>0</v>
      </c>
      <c r="F59" s="480">
        <v>0</v>
      </c>
      <c r="G59" s="522">
        <v>0</v>
      </c>
      <c r="H59" s="481">
        <v>0</v>
      </c>
      <c r="I59" s="488">
        <f t="shared" si="15"/>
        <v>5580</v>
      </c>
      <c r="J59" s="493">
        <f t="shared" si="4"/>
        <v>5580</v>
      </c>
      <c r="K59" s="496">
        <f t="shared" si="5"/>
        <v>6975</v>
      </c>
      <c r="L59" s="489">
        <f t="shared" si="11"/>
        <v>19.360664074988655</v>
      </c>
      <c r="U59" s="420">
        <f t="shared" si="16"/>
        <v>0</v>
      </c>
      <c r="V59" s="421">
        <f t="shared" si="14"/>
        <v>0</v>
      </c>
      <c r="W59" s="408">
        <f t="shared" si="8"/>
        <v>0</v>
      </c>
      <c r="X59" s="409">
        <f t="shared" si="12"/>
        <v>0</v>
      </c>
    </row>
    <row r="60" spans="1:24" ht="16.5" customHeight="1">
      <c r="A60" s="429" t="s">
        <v>77</v>
      </c>
      <c r="B60" s="60">
        <v>120</v>
      </c>
      <c r="C60" s="161">
        <v>4170</v>
      </c>
      <c r="D60" s="422">
        <v>0</v>
      </c>
      <c r="E60" s="507">
        <v>0</v>
      </c>
      <c r="F60" s="462">
        <v>0</v>
      </c>
      <c r="G60" s="519">
        <v>0</v>
      </c>
      <c r="H60" s="453">
        <v>0</v>
      </c>
      <c r="I60" s="482">
        <f t="shared" si="15"/>
        <v>4170</v>
      </c>
      <c r="J60" s="494">
        <f t="shared" si="4"/>
        <v>4170</v>
      </c>
      <c r="K60" s="497">
        <f t="shared" si="5"/>
        <v>5212.5</v>
      </c>
      <c r="L60" s="483">
        <f>K60/120</f>
        <v>43.4375</v>
      </c>
      <c r="U60" s="420">
        <f t="shared" si="16"/>
        <v>0</v>
      </c>
      <c r="V60" s="421">
        <f t="shared" si="14"/>
        <v>0</v>
      </c>
      <c r="W60" s="408">
        <f t="shared" si="8"/>
        <v>0</v>
      </c>
      <c r="X60" s="409">
        <f t="shared" si="12"/>
        <v>0</v>
      </c>
    </row>
    <row r="61" spans="1:24" ht="16.5" customHeight="1">
      <c r="A61" s="430" t="s">
        <v>78</v>
      </c>
      <c r="B61" s="59">
        <v>120</v>
      </c>
      <c r="C61" s="162">
        <v>4600</v>
      </c>
      <c r="D61" s="422">
        <v>0</v>
      </c>
      <c r="E61" s="507">
        <v>0</v>
      </c>
      <c r="F61" s="462">
        <v>0</v>
      </c>
      <c r="G61" s="519">
        <v>0</v>
      </c>
      <c r="H61" s="453">
        <v>0</v>
      </c>
      <c r="I61" s="66">
        <f t="shared" si="15"/>
        <v>4600</v>
      </c>
      <c r="J61" s="491">
        <f t="shared" si="4"/>
        <v>4600</v>
      </c>
      <c r="K61" s="460">
        <f t="shared" si="5"/>
        <v>5750</v>
      </c>
      <c r="L61" s="484">
        <f>K61/120</f>
        <v>47.916666666666664</v>
      </c>
      <c r="U61" s="420">
        <f t="shared" si="16"/>
        <v>0</v>
      </c>
      <c r="V61" s="421">
        <f t="shared" si="14"/>
        <v>0</v>
      </c>
      <c r="W61" s="408">
        <f t="shared" si="8"/>
        <v>0</v>
      </c>
      <c r="X61" s="409">
        <f t="shared" si="12"/>
        <v>0</v>
      </c>
    </row>
    <row r="62" spans="1:24" ht="16.5" customHeight="1">
      <c r="A62" s="430" t="s">
        <v>79</v>
      </c>
      <c r="B62" s="59">
        <v>120</v>
      </c>
      <c r="C62" s="162">
        <v>4800</v>
      </c>
      <c r="D62" s="422">
        <v>0</v>
      </c>
      <c r="E62" s="507">
        <v>0</v>
      </c>
      <c r="F62" s="462">
        <v>0</v>
      </c>
      <c r="G62" s="519">
        <v>0</v>
      </c>
      <c r="H62" s="453">
        <v>0</v>
      </c>
      <c r="I62" s="66">
        <f t="shared" si="15"/>
        <v>4800</v>
      </c>
      <c r="J62" s="491">
        <f t="shared" si="4"/>
        <v>4800</v>
      </c>
      <c r="K62" s="460">
        <f t="shared" si="5"/>
        <v>6000</v>
      </c>
      <c r="L62" s="484">
        <f t="shared" ref="L62:L67" si="17">K62/120</f>
        <v>50</v>
      </c>
      <c r="U62" s="420">
        <f t="shared" si="16"/>
        <v>0</v>
      </c>
      <c r="V62" s="421">
        <f t="shared" si="14"/>
        <v>0</v>
      </c>
      <c r="W62" s="408">
        <f t="shared" si="8"/>
        <v>0</v>
      </c>
      <c r="X62" s="409">
        <f t="shared" si="12"/>
        <v>0</v>
      </c>
    </row>
    <row r="63" spans="1:24" ht="16.5" customHeight="1">
      <c r="A63" s="430" t="s">
        <v>84</v>
      </c>
      <c r="B63" s="59">
        <v>120</v>
      </c>
      <c r="C63" s="162">
        <v>3780</v>
      </c>
      <c r="D63" s="422">
        <v>0</v>
      </c>
      <c r="E63" s="507">
        <v>0</v>
      </c>
      <c r="F63" s="462">
        <v>0</v>
      </c>
      <c r="G63" s="519">
        <v>0</v>
      </c>
      <c r="H63" s="453">
        <v>0</v>
      </c>
      <c r="I63" s="66">
        <f t="shared" si="15"/>
        <v>3780</v>
      </c>
      <c r="J63" s="491">
        <f t="shared" si="4"/>
        <v>3780</v>
      </c>
      <c r="K63" s="460">
        <f t="shared" si="5"/>
        <v>4725</v>
      </c>
      <c r="L63" s="484">
        <f t="shared" si="17"/>
        <v>39.375</v>
      </c>
      <c r="U63" s="420">
        <f t="shared" si="16"/>
        <v>0</v>
      </c>
      <c r="V63" s="421">
        <f t="shared" si="14"/>
        <v>0</v>
      </c>
      <c r="W63" s="408">
        <f t="shared" si="8"/>
        <v>0</v>
      </c>
      <c r="X63" s="409">
        <f t="shared" si="12"/>
        <v>0</v>
      </c>
    </row>
    <row r="64" spans="1:24" ht="16.5" customHeight="1">
      <c r="A64" s="430" t="s">
        <v>85</v>
      </c>
      <c r="B64" s="59">
        <v>120</v>
      </c>
      <c r="C64" s="162">
        <v>3780</v>
      </c>
      <c r="D64" s="422">
        <v>0</v>
      </c>
      <c r="E64" s="507">
        <v>0</v>
      </c>
      <c r="F64" s="462">
        <v>0</v>
      </c>
      <c r="G64" s="519">
        <v>0</v>
      </c>
      <c r="H64" s="453">
        <v>0</v>
      </c>
      <c r="I64" s="66">
        <f t="shared" si="15"/>
        <v>3780</v>
      </c>
      <c r="J64" s="491">
        <f t="shared" si="4"/>
        <v>3780</v>
      </c>
      <c r="K64" s="460">
        <f t="shared" si="5"/>
        <v>4725</v>
      </c>
      <c r="L64" s="484">
        <f t="shared" si="17"/>
        <v>39.375</v>
      </c>
      <c r="U64" s="420">
        <f t="shared" si="16"/>
        <v>0</v>
      </c>
      <c r="V64" s="421">
        <f t="shared" si="14"/>
        <v>0</v>
      </c>
      <c r="W64" s="408">
        <f t="shared" si="8"/>
        <v>0</v>
      </c>
      <c r="X64" s="409">
        <f t="shared" si="12"/>
        <v>0</v>
      </c>
    </row>
    <row r="65" spans="1:24" ht="16.5" customHeight="1">
      <c r="A65" s="430" t="s">
        <v>5</v>
      </c>
      <c r="B65" s="59">
        <v>120</v>
      </c>
      <c r="C65" s="162">
        <v>3660</v>
      </c>
      <c r="D65" s="422">
        <v>0</v>
      </c>
      <c r="E65" s="507">
        <v>0</v>
      </c>
      <c r="F65" s="462">
        <v>0</v>
      </c>
      <c r="G65" s="519">
        <v>0</v>
      </c>
      <c r="H65" s="453">
        <v>0</v>
      </c>
      <c r="I65" s="66">
        <f t="shared" si="15"/>
        <v>3660</v>
      </c>
      <c r="J65" s="491">
        <f t="shared" si="4"/>
        <v>3660</v>
      </c>
      <c r="K65" s="460">
        <f t="shared" si="5"/>
        <v>4575</v>
      </c>
      <c r="L65" s="484">
        <f t="shared" si="17"/>
        <v>38.125</v>
      </c>
      <c r="U65" s="420">
        <f t="shared" si="16"/>
        <v>0</v>
      </c>
      <c r="V65" s="421">
        <f t="shared" si="14"/>
        <v>0</v>
      </c>
      <c r="W65" s="408">
        <f t="shared" si="8"/>
        <v>0</v>
      </c>
      <c r="X65" s="409">
        <f t="shared" si="12"/>
        <v>0</v>
      </c>
    </row>
    <row r="66" spans="1:24" ht="16.5" customHeight="1">
      <c r="A66" s="430" t="s">
        <v>7</v>
      </c>
      <c r="B66" s="59">
        <v>120</v>
      </c>
      <c r="C66" s="162">
        <v>3470</v>
      </c>
      <c r="D66" s="422">
        <v>0</v>
      </c>
      <c r="E66" s="507">
        <v>0</v>
      </c>
      <c r="F66" s="462">
        <v>0</v>
      </c>
      <c r="G66" s="519">
        <v>0</v>
      </c>
      <c r="H66" s="453">
        <v>0</v>
      </c>
      <c r="I66" s="66">
        <f t="shared" si="15"/>
        <v>3470</v>
      </c>
      <c r="J66" s="491">
        <f t="shared" si="4"/>
        <v>3470</v>
      </c>
      <c r="K66" s="460">
        <f t="shared" si="5"/>
        <v>4337.5</v>
      </c>
      <c r="L66" s="484">
        <f t="shared" si="17"/>
        <v>36.145833333333336</v>
      </c>
      <c r="U66" s="420">
        <f t="shared" si="16"/>
        <v>0</v>
      </c>
      <c r="V66" s="421">
        <f t="shared" si="14"/>
        <v>0</v>
      </c>
      <c r="W66" s="408">
        <f t="shared" si="8"/>
        <v>0</v>
      </c>
      <c r="X66" s="409">
        <f t="shared" si="12"/>
        <v>0</v>
      </c>
    </row>
    <row r="67" spans="1:24" ht="16.5" customHeight="1">
      <c r="A67" s="430" t="s">
        <v>8</v>
      </c>
      <c r="B67" s="59">
        <v>120</v>
      </c>
      <c r="C67" s="162">
        <v>7120</v>
      </c>
      <c r="D67" s="422">
        <v>0</v>
      </c>
      <c r="E67" s="507">
        <v>0</v>
      </c>
      <c r="F67" s="462">
        <v>0</v>
      </c>
      <c r="G67" s="519">
        <v>0</v>
      </c>
      <c r="H67" s="453">
        <v>0</v>
      </c>
      <c r="I67" s="66">
        <f t="shared" si="15"/>
        <v>7120</v>
      </c>
      <c r="J67" s="491">
        <f t="shared" si="4"/>
        <v>7120</v>
      </c>
      <c r="K67" s="460">
        <f t="shared" si="5"/>
        <v>8900</v>
      </c>
      <c r="L67" s="484">
        <f t="shared" si="17"/>
        <v>74.166666666666671</v>
      </c>
      <c r="U67" s="420">
        <f t="shared" si="16"/>
        <v>0</v>
      </c>
      <c r="V67" s="421">
        <f t="shared" si="14"/>
        <v>0</v>
      </c>
      <c r="W67" s="408">
        <f t="shared" si="8"/>
        <v>0</v>
      </c>
      <c r="X67" s="409">
        <f t="shared" si="12"/>
        <v>0</v>
      </c>
    </row>
    <row r="68" spans="1:24" ht="16.5" customHeight="1" thickBot="1">
      <c r="A68" s="431" t="s">
        <v>9</v>
      </c>
      <c r="B68" s="432">
        <v>120</v>
      </c>
      <c r="C68" s="433">
        <v>6350</v>
      </c>
      <c r="D68" s="434">
        <v>0</v>
      </c>
      <c r="E68" s="509">
        <v>0</v>
      </c>
      <c r="F68" s="463">
        <v>0</v>
      </c>
      <c r="G68" s="523">
        <v>0</v>
      </c>
      <c r="H68" s="455">
        <v>0</v>
      </c>
      <c r="I68" s="67">
        <f t="shared" ref="I68:I99" si="18">SUM(C68,D68,F68,H68)</f>
        <v>6350</v>
      </c>
      <c r="J68" s="492">
        <f t="shared" si="4"/>
        <v>6350</v>
      </c>
      <c r="K68" s="461">
        <f t="shared" si="5"/>
        <v>7937.5</v>
      </c>
      <c r="L68" s="485">
        <f>K68/120</f>
        <v>66.145833333333329</v>
      </c>
      <c r="U68" s="420">
        <f t="shared" ref="U68:U99" si="19">SUM(O68,P68,R68,T68)</f>
        <v>0</v>
      </c>
      <c r="V68" s="421">
        <f t="shared" si="14"/>
        <v>0</v>
      </c>
      <c r="W68" s="408">
        <f t="shared" si="8"/>
        <v>0</v>
      </c>
      <c r="X68" s="409">
        <f t="shared" si="12"/>
        <v>0</v>
      </c>
    </row>
    <row r="69" spans="1:24" ht="15">
      <c r="B69" s="28"/>
      <c r="C69" s="419">
        <f>SUM(C4:C68)</f>
        <v>321990</v>
      </c>
      <c r="H69" s="424" t="s">
        <v>70</v>
      </c>
      <c r="I69" s="419">
        <f>SUM(I4:I68)/1000</f>
        <v>1630.482</v>
      </c>
      <c r="J69" s="419">
        <f>SUM(J4:J68)/1000</f>
        <v>1192.2360000000001</v>
      </c>
      <c r="K69" s="419">
        <f>SUM(K4:K68)/1000</f>
        <v>1490.2950000000001</v>
      </c>
      <c r="L69" s="500">
        <f>SUM(L4:L68)</f>
        <v>3955.6544156896675</v>
      </c>
      <c r="U69" s="418" t="e">
        <f>SUM(U4:U68)/1000</f>
        <v>#REF!</v>
      </c>
      <c r="V69" s="419" t="e">
        <f>SUM(V4:V68)/1000</f>
        <v>#REF!</v>
      </c>
      <c r="W69" s="410"/>
      <c r="X69" s="409">
        <f t="shared" si="12"/>
        <v>0</v>
      </c>
    </row>
    <row r="70" spans="1:24" ht="15">
      <c r="A70" s="27"/>
      <c r="C70" s="2"/>
    </row>
    <row r="71" spans="1:24">
      <c r="C71" s="58"/>
    </row>
    <row r="72" spans="1:24">
      <c r="C72" s="41"/>
    </row>
    <row r="74" spans="1:24" ht="15">
      <c r="B74"/>
    </row>
    <row r="75" spans="1:24" ht="15">
      <c r="A75" s="1"/>
      <c r="B75"/>
    </row>
    <row r="76" spans="1:24" ht="15">
      <c r="A76" s="1"/>
      <c r="B76"/>
    </row>
    <row r="77" spans="1:24" ht="15">
      <c r="A77" s="1"/>
      <c r="B77"/>
    </row>
    <row r="78" spans="1:24" ht="15">
      <c r="A78" s="1"/>
      <c r="B78"/>
    </row>
    <row r="79" spans="1:24" ht="15">
      <c r="A79" s="1"/>
      <c r="B79"/>
    </row>
    <row r="80" spans="1:24" ht="15">
      <c r="A80" s="1"/>
      <c r="B80"/>
    </row>
    <row r="81" spans="1:2" ht="15">
      <c r="A81" s="1"/>
      <c r="B81"/>
    </row>
    <row r="82" spans="1:2" ht="15">
      <c r="A82" s="1"/>
      <c r="B82"/>
    </row>
    <row r="83" spans="1:2" ht="15">
      <c r="A83" s="1"/>
      <c r="B83"/>
    </row>
    <row r="84" spans="1:2" ht="15">
      <c r="A84" s="1"/>
      <c r="B84"/>
    </row>
    <row r="85" spans="1:2" ht="15">
      <c r="A85" s="1"/>
      <c r="B85"/>
    </row>
    <row r="86" spans="1:2" ht="15">
      <c r="A86" s="1"/>
      <c r="B86"/>
    </row>
    <row r="87" spans="1:2" ht="15">
      <c r="A87" s="1"/>
      <c r="B87"/>
    </row>
    <row r="88" spans="1:2" ht="15">
      <c r="A88" s="1"/>
      <c r="B88"/>
    </row>
    <row r="89" spans="1:2" ht="15">
      <c r="A89" s="1"/>
    </row>
  </sheetData>
  <sortState ref="A7:E51">
    <sortCondition ref="A7"/>
  </sortState>
  <mergeCells count="15">
    <mergeCell ref="C1:C2"/>
    <mergeCell ref="A1:A2"/>
    <mergeCell ref="B1:B2"/>
    <mergeCell ref="D1:E1"/>
    <mergeCell ref="F1:G1"/>
    <mergeCell ref="I1:L1"/>
    <mergeCell ref="H1:H2"/>
    <mergeCell ref="T1:T2"/>
    <mergeCell ref="O11:P11"/>
    <mergeCell ref="U1:X1"/>
    <mergeCell ref="O1:O2"/>
    <mergeCell ref="P1:P2"/>
    <mergeCell ref="Q1:Q2"/>
    <mergeCell ref="R1:R2"/>
    <mergeCell ref="S1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1"/>
  <sheetViews>
    <sheetView topLeftCell="A13" workbookViewId="0">
      <selection activeCell="H29" sqref="H29"/>
    </sheetView>
  </sheetViews>
  <sheetFormatPr defaultRowHeight="15"/>
  <cols>
    <col min="1" max="1" width="17.42578125" style="1" customWidth="1"/>
    <col min="2" max="2" width="7.5703125" style="1" customWidth="1"/>
    <col min="3" max="4" width="6.85546875" style="1" customWidth="1"/>
    <col min="5" max="5" width="5.28515625" style="1" customWidth="1"/>
    <col min="6" max="6" width="7" style="1" customWidth="1"/>
    <col min="7" max="8" width="9.140625" style="1"/>
    <col min="9" max="9" width="9.140625" style="205"/>
    <col min="11" max="16384" width="9.140625" style="1"/>
  </cols>
  <sheetData>
    <row r="1" spans="1:9" hidden="1">
      <c r="A1" s="178"/>
      <c r="B1" s="705" t="s">
        <v>108</v>
      </c>
      <c r="C1" s="706"/>
      <c r="D1" s="706"/>
      <c r="E1" s="706"/>
      <c r="F1" s="706"/>
      <c r="G1" s="706"/>
      <c r="H1" s="707"/>
    </row>
    <row r="2" spans="1:9" ht="13.5" customHeight="1">
      <c r="A2" s="708" t="s">
        <v>90</v>
      </c>
      <c r="B2" s="708" t="s">
        <v>91</v>
      </c>
      <c r="C2" s="708" t="s">
        <v>92</v>
      </c>
      <c r="D2" s="708" t="s">
        <v>93</v>
      </c>
      <c r="E2" s="708" t="s">
        <v>94</v>
      </c>
      <c r="F2" s="708" t="s">
        <v>109</v>
      </c>
      <c r="G2" s="709" t="s">
        <v>96</v>
      </c>
      <c r="H2" s="688"/>
      <c r="I2" s="688"/>
    </row>
    <row r="3" spans="1:9" ht="13.5" customHeight="1" thickBot="1">
      <c r="A3" s="687"/>
      <c r="B3" s="687"/>
      <c r="C3" s="687"/>
      <c r="D3" s="687"/>
      <c r="E3" s="687"/>
      <c r="F3" s="687"/>
      <c r="G3" s="176" t="s">
        <v>97</v>
      </c>
      <c r="H3" s="177" t="s">
        <v>98</v>
      </c>
      <c r="I3" s="177" t="s">
        <v>95</v>
      </c>
    </row>
    <row r="4" spans="1:9" ht="15.75" customHeight="1" thickTop="1">
      <c r="A4" s="678" t="s">
        <v>110</v>
      </c>
      <c r="B4" s="86" t="s">
        <v>111</v>
      </c>
      <c r="C4" s="86">
        <v>480</v>
      </c>
      <c r="D4" s="86">
        <v>3</v>
      </c>
      <c r="E4" s="86">
        <v>60</v>
      </c>
      <c r="F4" s="86">
        <v>75</v>
      </c>
      <c r="G4" s="87">
        <f>F4/0.7457</f>
        <v>100.5766393992222</v>
      </c>
      <c r="H4" s="88">
        <f t="shared" ref="H4:H13" si="0">G4/0.9</f>
        <v>111.75182155469133</v>
      </c>
      <c r="I4" s="206">
        <f t="shared" ref="I4:I35" si="1">H4/C4*1000</f>
        <v>232.81629490560692</v>
      </c>
    </row>
    <row r="5" spans="1:9">
      <c r="A5" s="681"/>
      <c r="B5" s="89" t="s">
        <v>112</v>
      </c>
      <c r="C5" s="89">
        <v>480</v>
      </c>
      <c r="D5" s="89">
        <v>3</v>
      </c>
      <c r="E5" s="89">
        <v>60</v>
      </c>
      <c r="F5" s="89">
        <v>40</v>
      </c>
      <c r="G5" s="90">
        <f t="shared" ref="G5:G13" si="2">F5/0.7457</f>
        <v>53.640874346251842</v>
      </c>
      <c r="H5" s="91">
        <f t="shared" si="0"/>
        <v>59.600971495835381</v>
      </c>
      <c r="I5" s="206">
        <f t="shared" si="1"/>
        <v>124.16869061632372</v>
      </c>
    </row>
    <row r="6" spans="1:9">
      <c r="A6" s="681"/>
      <c r="B6" s="89" t="s">
        <v>113</v>
      </c>
      <c r="C6" s="89">
        <v>480</v>
      </c>
      <c r="D6" s="89">
        <v>3</v>
      </c>
      <c r="E6" s="89">
        <v>60</v>
      </c>
      <c r="F6" s="89">
        <v>75</v>
      </c>
      <c r="G6" s="92">
        <f t="shared" si="2"/>
        <v>100.5766393992222</v>
      </c>
      <c r="H6" s="93">
        <f t="shared" si="0"/>
        <v>111.75182155469133</v>
      </c>
      <c r="I6" s="206">
        <f t="shared" si="1"/>
        <v>232.81629490560692</v>
      </c>
    </row>
    <row r="7" spans="1:9">
      <c r="A7" s="681"/>
      <c r="B7" s="89" t="s">
        <v>114</v>
      </c>
      <c r="C7" s="89">
        <v>480</v>
      </c>
      <c r="D7" s="89">
        <v>3</v>
      </c>
      <c r="E7" s="89">
        <v>60</v>
      </c>
      <c r="F7" s="89">
        <v>75</v>
      </c>
      <c r="G7" s="92">
        <f t="shared" si="2"/>
        <v>100.5766393992222</v>
      </c>
      <c r="H7" s="93">
        <f t="shared" si="0"/>
        <v>111.75182155469133</v>
      </c>
      <c r="I7" s="206">
        <f t="shared" si="1"/>
        <v>232.81629490560692</v>
      </c>
    </row>
    <row r="8" spans="1:9">
      <c r="A8" s="681"/>
      <c r="B8" s="89" t="s">
        <v>115</v>
      </c>
      <c r="C8" s="89">
        <v>480</v>
      </c>
      <c r="D8" s="89">
        <v>3</v>
      </c>
      <c r="E8" s="89">
        <v>60</v>
      </c>
      <c r="F8" s="89">
        <v>75</v>
      </c>
      <c r="G8" s="94">
        <f t="shared" si="2"/>
        <v>100.5766393992222</v>
      </c>
      <c r="H8" s="93">
        <f t="shared" si="0"/>
        <v>111.75182155469133</v>
      </c>
      <c r="I8" s="206">
        <f t="shared" si="1"/>
        <v>232.81629490560692</v>
      </c>
    </row>
    <row r="9" spans="1:9">
      <c r="A9" s="681"/>
      <c r="B9" s="89" t="s">
        <v>116</v>
      </c>
      <c r="C9" s="89">
        <v>480</v>
      </c>
      <c r="D9" s="89">
        <v>3</v>
      </c>
      <c r="E9" s="89">
        <v>60</v>
      </c>
      <c r="F9" s="89">
        <v>40</v>
      </c>
      <c r="G9" s="95">
        <f t="shared" si="2"/>
        <v>53.640874346251842</v>
      </c>
      <c r="H9" s="96">
        <f t="shared" si="0"/>
        <v>59.600971495835381</v>
      </c>
      <c r="I9" s="206">
        <f t="shared" si="1"/>
        <v>124.16869061632372</v>
      </c>
    </row>
    <row r="10" spans="1:9">
      <c r="A10" s="681"/>
      <c r="B10" s="97" t="s">
        <v>117</v>
      </c>
      <c r="C10" s="97">
        <v>480</v>
      </c>
      <c r="D10" s="97">
        <v>3</v>
      </c>
      <c r="E10" s="97">
        <v>60</v>
      </c>
      <c r="F10" s="97">
        <v>50</v>
      </c>
      <c r="G10" s="98">
        <f t="shared" si="2"/>
        <v>67.051092932814797</v>
      </c>
      <c r="H10" s="99">
        <f t="shared" si="0"/>
        <v>74.501214369794212</v>
      </c>
      <c r="I10" s="206">
        <f t="shared" si="1"/>
        <v>155.21086327040462</v>
      </c>
    </row>
    <row r="11" spans="1:9">
      <c r="A11" s="681"/>
      <c r="B11" s="100" t="s">
        <v>118</v>
      </c>
      <c r="C11" s="100">
        <v>480</v>
      </c>
      <c r="D11" s="100">
        <v>3</v>
      </c>
      <c r="E11" s="100">
        <v>60</v>
      </c>
      <c r="F11" s="100">
        <v>50</v>
      </c>
      <c r="G11" s="98">
        <f t="shared" si="2"/>
        <v>67.051092932814797</v>
      </c>
      <c r="H11" s="99">
        <f t="shared" si="0"/>
        <v>74.501214369794212</v>
      </c>
      <c r="I11" s="206">
        <f t="shared" si="1"/>
        <v>155.21086327040462</v>
      </c>
    </row>
    <row r="12" spans="1:9">
      <c r="A12" s="681"/>
      <c r="B12" s="100" t="s">
        <v>119</v>
      </c>
      <c r="C12" s="100">
        <v>480</v>
      </c>
      <c r="D12" s="100">
        <v>3</v>
      </c>
      <c r="E12" s="100">
        <v>60</v>
      </c>
      <c r="F12" s="101">
        <v>50</v>
      </c>
      <c r="G12" s="98">
        <f t="shared" si="2"/>
        <v>67.051092932814797</v>
      </c>
      <c r="H12" s="99">
        <f t="shared" si="0"/>
        <v>74.501214369794212</v>
      </c>
      <c r="I12" s="206">
        <f t="shared" si="1"/>
        <v>155.21086327040462</v>
      </c>
    </row>
    <row r="13" spans="1:9" ht="15.75" thickBot="1">
      <c r="A13" s="682"/>
      <c r="B13" s="102" t="s">
        <v>120</v>
      </c>
      <c r="C13" s="103">
        <v>480</v>
      </c>
      <c r="D13" s="103">
        <v>3</v>
      </c>
      <c r="E13" s="103">
        <v>60</v>
      </c>
      <c r="F13" s="104">
        <v>20</v>
      </c>
      <c r="G13" s="105">
        <f t="shared" si="2"/>
        <v>26.820437173125921</v>
      </c>
      <c r="H13" s="106">
        <f t="shared" si="0"/>
        <v>29.800485747917691</v>
      </c>
      <c r="I13" s="207">
        <f t="shared" si="1"/>
        <v>62.084345308161858</v>
      </c>
    </row>
    <row r="14" spans="1:9" ht="15.75" hidden="1" thickBot="1">
      <c r="A14" s="71"/>
      <c r="B14" s="699" t="s">
        <v>121</v>
      </c>
      <c r="C14" s="700"/>
      <c r="D14" s="700"/>
      <c r="E14" s="700"/>
      <c r="F14" s="700"/>
      <c r="G14" s="700"/>
      <c r="H14" s="701"/>
      <c r="I14" s="207" t="e">
        <f t="shared" si="1"/>
        <v>#DIV/0!</v>
      </c>
    </row>
    <row r="15" spans="1:9" ht="12.75" hidden="1" customHeight="1">
      <c r="A15" s="71"/>
      <c r="B15" s="693" t="s">
        <v>91</v>
      </c>
      <c r="C15" s="693" t="s">
        <v>92</v>
      </c>
      <c r="D15" s="693" t="s">
        <v>93</v>
      </c>
      <c r="E15" s="693" t="s">
        <v>94</v>
      </c>
      <c r="F15" s="693" t="s">
        <v>109</v>
      </c>
      <c r="G15" s="703" t="s">
        <v>96</v>
      </c>
      <c r="H15" s="704"/>
      <c r="I15" s="207" t="e">
        <f t="shared" si="1"/>
        <v>#VALUE!</v>
      </c>
    </row>
    <row r="16" spans="1:9" ht="12.75" hidden="1" customHeight="1" thickBot="1">
      <c r="A16" s="71"/>
      <c r="B16" s="694"/>
      <c r="C16" s="694"/>
      <c r="D16" s="694"/>
      <c r="E16" s="694"/>
      <c r="F16" s="694"/>
      <c r="G16" s="159" t="s">
        <v>97</v>
      </c>
      <c r="H16" s="160" t="s">
        <v>98</v>
      </c>
      <c r="I16" s="207" t="e">
        <f t="shared" si="1"/>
        <v>#VALUE!</v>
      </c>
    </row>
    <row r="17" spans="1:9">
      <c r="A17" s="681" t="s">
        <v>122</v>
      </c>
      <c r="B17" s="74" t="s">
        <v>123</v>
      </c>
      <c r="C17" s="74">
        <v>480</v>
      </c>
      <c r="D17" s="74">
        <v>3</v>
      </c>
      <c r="E17" s="74">
        <v>60</v>
      </c>
      <c r="F17" s="74">
        <v>30</v>
      </c>
      <c r="G17" s="107">
        <f>F17/0.7457</f>
        <v>40.230655759688879</v>
      </c>
      <c r="H17" s="108">
        <f t="shared" ref="H17:H31" si="3">G17/0.9</f>
        <v>44.700728621876529</v>
      </c>
      <c r="I17" s="207">
        <f t="shared" si="1"/>
        <v>93.126517962242758</v>
      </c>
    </row>
    <row r="18" spans="1:9">
      <c r="A18" s="679"/>
      <c r="B18" s="77" t="s">
        <v>124</v>
      </c>
      <c r="C18" s="77">
        <v>480</v>
      </c>
      <c r="D18" s="77">
        <v>3</v>
      </c>
      <c r="E18" s="77">
        <v>60</v>
      </c>
      <c r="F18" s="77">
        <v>15</v>
      </c>
      <c r="G18" s="109">
        <f t="shared" ref="G18:G31" si="4">F18/0.7457</f>
        <v>20.11532787984444</v>
      </c>
      <c r="H18" s="110">
        <f t="shared" si="3"/>
        <v>22.350364310938264</v>
      </c>
      <c r="I18" s="207">
        <f t="shared" si="1"/>
        <v>46.563258981121379</v>
      </c>
    </row>
    <row r="19" spans="1:9">
      <c r="A19" s="679"/>
      <c r="B19" s="83" t="s">
        <v>125</v>
      </c>
      <c r="C19" s="77">
        <v>480</v>
      </c>
      <c r="D19" s="77">
        <v>3</v>
      </c>
      <c r="E19" s="77">
        <v>60</v>
      </c>
      <c r="F19" s="77">
        <v>30</v>
      </c>
      <c r="G19" s="109">
        <f t="shared" si="4"/>
        <v>40.230655759688879</v>
      </c>
      <c r="H19" s="110">
        <f t="shared" si="3"/>
        <v>44.700728621876529</v>
      </c>
      <c r="I19" s="207">
        <f t="shared" si="1"/>
        <v>93.126517962242758</v>
      </c>
    </row>
    <row r="20" spans="1:9">
      <c r="A20" s="679"/>
      <c r="B20" s="83" t="s">
        <v>126</v>
      </c>
      <c r="C20" s="77">
        <v>480</v>
      </c>
      <c r="D20" s="77">
        <v>3</v>
      </c>
      <c r="E20" s="77">
        <v>60</v>
      </c>
      <c r="F20" s="77">
        <v>30</v>
      </c>
      <c r="G20" s="109">
        <f t="shared" si="4"/>
        <v>40.230655759688879</v>
      </c>
      <c r="H20" s="110">
        <f t="shared" si="3"/>
        <v>44.700728621876529</v>
      </c>
      <c r="I20" s="207">
        <f t="shared" si="1"/>
        <v>93.126517962242758</v>
      </c>
    </row>
    <row r="21" spans="1:9">
      <c r="A21" s="679"/>
      <c r="B21" s="74" t="s">
        <v>127</v>
      </c>
      <c r="C21" s="77">
        <v>480</v>
      </c>
      <c r="D21" s="77">
        <v>3</v>
      </c>
      <c r="E21" s="77">
        <v>60</v>
      </c>
      <c r="F21" s="77">
        <v>30</v>
      </c>
      <c r="G21" s="111">
        <f t="shared" si="4"/>
        <v>40.230655759688879</v>
      </c>
      <c r="H21" s="110">
        <f t="shared" si="3"/>
        <v>44.700728621876529</v>
      </c>
      <c r="I21" s="207">
        <f t="shared" si="1"/>
        <v>93.126517962242758</v>
      </c>
    </row>
    <row r="22" spans="1:9">
      <c r="A22" s="679"/>
      <c r="B22" s="77" t="s">
        <v>128</v>
      </c>
      <c r="C22" s="77">
        <v>480</v>
      </c>
      <c r="D22" s="77">
        <v>3</v>
      </c>
      <c r="E22" s="77">
        <v>60</v>
      </c>
      <c r="F22" s="77">
        <v>20</v>
      </c>
      <c r="G22" s="112">
        <f t="shared" si="4"/>
        <v>26.820437173125921</v>
      </c>
      <c r="H22" s="113">
        <f t="shared" si="3"/>
        <v>29.800485747917691</v>
      </c>
      <c r="I22" s="207">
        <f t="shared" si="1"/>
        <v>62.084345308161858</v>
      </c>
    </row>
    <row r="23" spans="1:9">
      <c r="A23" s="679"/>
      <c r="B23" s="83" t="s">
        <v>129</v>
      </c>
      <c r="C23" s="83">
        <v>480</v>
      </c>
      <c r="D23" s="83">
        <v>3</v>
      </c>
      <c r="E23" s="83">
        <v>60</v>
      </c>
      <c r="F23" s="83">
        <v>30</v>
      </c>
      <c r="G23" s="114">
        <f t="shared" si="4"/>
        <v>40.230655759688879</v>
      </c>
      <c r="H23" s="115">
        <f t="shared" si="3"/>
        <v>44.700728621876529</v>
      </c>
      <c r="I23" s="207">
        <f t="shared" si="1"/>
        <v>93.126517962242758</v>
      </c>
    </row>
    <row r="24" spans="1:9">
      <c r="A24" s="679"/>
      <c r="B24" s="83" t="s">
        <v>130</v>
      </c>
      <c r="C24" s="83">
        <v>480</v>
      </c>
      <c r="D24" s="83">
        <v>3</v>
      </c>
      <c r="E24" s="83">
        <v>60</v>
      </c>
      <c r="F24" s="83">
        <v>25</v>
      </c>
      <c r="G24" s="114">
        <f t="shared" si="4"/>
        <v>33.525546466407398</v>
      </c>
      <c r="H24" s="115">
        <f t="shared" si="3"/>
        <v>37.250607184897106</v>
      </c>
      <c r="I24" s="207">
        <f t="shared" si="1"/>
        <v>77.605431635202308</v>
      </c>
    </row>
    <row r="25" spans="1:9">
      <c r="A25" s="679"/>
      <c r="B25" s="83" t="s">
        <v>131</v>
      </c>
      <c r="C25" s="83">
        <v>480</v>
      </c>
      <c r="D25" s="83">
        <v>3</v>
      </c>
      <c r="E25" s="83">
        <v>60</v>
      </c>
      <c r="F25" s="83">
        <v>25</v>
      </c>
      <c r="G25" s="114">
        <f t="shared" si="4"/>
        <v>33.525546466407398</v>
      </c>
      <c r="H25" s="115">
        <f t="shared" si="3"/>
        <v>37.250607184897106</v>
      </c>
      <c r="I25" s="207">
        <f t="shared" si="1"/>
        <v>77.605431635202308</v>
      </c>
    </row>
    <row r="26" spans="1:9">
      <c r="A26" s="679"/>
      <c r="B26" s="83" t="s">
        <v>132</v>
      </c>
      <c r="C26" s="83">
        <v>480</v>
      </c>
      <c r="D26" s="83">
        <v>3</v>
      </c>
      <c r="E26" s="83">
        <v>60</v>
      </c>
      <c r="F26" s="116">
        <v>10</v>
      </c>
      <c r="G26" s="114">
        <f t="shared" si="4"/>
        <v>13.41021858656296</v>
      </c>
      <c r="H26" s="115">
        <f t="shared" si="3"/>
        <v>14.900242873958845</v>
      </c>
      <c r="I26" s="207">
        <f t="shared" si="1"/>
        <v>31.042172654080929</v>
      </c>
    </row>
    <row r="27" spans="1:9">
      <c r="A27" s="679"/>
      <c r="B27" s="117" t="s">
        <v>133</v>
      </c>
      <c r="C27" s="83">
        <v>480</v>
      </c>
      <c r="D27" s="83">
        <v>3</v>
      </c>
      <c r="E27" s="83">
        <v>60</v>
      </c>
      <c r="F27" s="116">
        <v>10</v>
      </c>
      <c r="G27" s="111">
        <f t="shared" si="4"/>
        <v>13.41021858656296</v>
      </c>
      <c r="H27" s="110">
        <f t="shared" si="3"/>
        <v>14.900242873958845</v>
      </c>
      <c r="I27" s="207">
        <f t="shared" si="1"/>
        <v>31.042172654080929</v>
      </c>
    </row>
    <row r="28" spans="1:9">
      <c r="A28" s="679"/>
      <c r="B28" s="117" t="s">
        <v>134</v>
      </c>
      <c r="C28" s="83">
        <v>480</v>
      </c>
      <c r="D28" s="83">
        <v>3</v>
      </c>
      <c r="E28" s="83">
        <v>60</v>
      </c>
      <c r="F28" s="116">
        <v>5</v>
      </c>
      <c r="G28" s="118">
        <f t="shared" si="4"/>
        <v>6.7051092932814802</v>
      </c>
      <c r="H28" s="119">
        <f t="shared" si="3"/>
        <v>7.4501214369794226</v>
      </c>
      <c r="I28" s="207">
        <f t="shared" si="1"/>
        <v>15.521086327040464</v>
      </c>
    </row>
    <row r="29" spans="1:9">
      <c r="A29" s="679"/>
      <c r="B29" s="117" t="s">
        <v>135</v>
      </c>
      <c r="C29" s="83">
        <v>480</v>
      </c>
      <c r="D29" s="83">
        <v>3</v>
      </c>
      <c r="E29" s="83">
        <v>60</v>
      </c>
      <c r="F29" s="116">
        <v>2.5</v>
      </c>
      <c r="G29" s="120">
        <f t="shared" si="4"/>
        <v>3.3525546466407401</v>
      </c>
      <c r="H29" s="121">
        <f t="shared" si="3"/>
        <v>3.7250607184897113</v>
      </c>
      <c r="I29" s="208">
        <f t="shared" si="1"/>
        <v>7.7605431635202322</v>
      </c>
    </row>
    <row r="30" spans="1:9">
      <c r="A30" s="679"/>
      <c r="B30" s="117" t="s">
        <v>136</v>
      </c>
      <c r="C30" s="83">
        <v>480</v>
      </c>
      <c r="D30" s="83">
        <v>3</v>
      </c>
      <c r="E30" s="83">
        <v>60</v>
      </c>
      <c r="F30" s="116">
        <v>2.5</v>
      </c>
      <c r="G30" s="120">
        <f t="shared" si="4"/>
        <v>3.3525546466407401</v>
      </c>
      <c r="H30" s="121">
        <f t="shared" si="3"/>
        <v>3.7250607184897113</v>
      </c>
      <c r="I30" s="208">
        <f t="shared" si="1"/>
        <v>7.7605431635202322</v>
      </c>
    </row>
    <row r="31" spans="1:9" ht="15.75" thickBot="1">
      <c r="A31" s="702"/>
      <c r="B31" s="122" t="s">
        <v>137</v>
      </c>
      <c r="C31" s="123">
        <v>480</v>
      </c>
      <c r="D31" s="123">
        <v>3</v>
      </c>
      <c r="E31" s="123">
        <v>60</v>
      </c>
      <c r="F31" s="124">
        <v>5</v>
      </c>
      <c r="G31" s="125">
        <f t="shared" si="4"/>
        <v>6.7051092932814802</v>
      </c>
      <c r="H31" s="126">
        <f t="shared" si="3"/>
        <v>7.4501214369794226</v>
      </c>
      <c r="I31" s="207">
        <f t="shared" si="1"/>
        <v>15.521086327040464</v>
      </c>
    </row>
    <row r="32" spans="1:9" ht="15.75" hidden="1" thickBot="1">
      <c r="A32" s="71"/>
      <c r="B32" s="699" t="s">
        <v>138</v>
      </c>
      <c r="C32" s="700"/>
      <c r="D32" s="700"/>
      <c r="E32" s="700"/>
      <c r="F32" s="700"/>
      <c r="G32" s="700"/>
      <c r="H32" s="701"/>
      <c r="I32" s="207" t="e">
        <f t="shared" si="1"/>
        <v>#DIV/0!</v>
      </c>
    </row>
    <row r="33" spans="1:9" hidden="1">
      <c r="A33" s="71"/>
      <c r="B33" s="693" t="s">
        <v>91</v>
      </c>
      <c r="C33" s="693" t="s">
        <v>92</v>
      </c>
      <c r="D33" s="693" t="s">
        <v>93</v>
      </c>
      <c r="E33" s="693" t="s">
        <v>94</v>
      </c>
      <c r="F33" s="693" t="s">
        <v>139</v>
      </c>
      <c r="G33" s="695" t="s">
        <v>96</v>
      </c>
      <c r="H33" s="696"/>
      <c r="I33" s="207" t="e">
        <f t="shared" si="1"/>
        <v>#VALUE!</v>
      </c>
    </row>
    <row r="34" spans="1:9" ht="15.75" hidden="1" thickBot="1">
      <c r="A34" s="71"/>
      <c r="B34" s="694"/>
      <c r="C34" s="694"/>
      <c r="D34" s="694"/>
      <c r="E34" s="694"/>
      <c r="F34" s="694"/>
      <c r="G34" s="72" t="s">
        <v>97</v>
      </c>
      <c r="H34" s="73" t="s">
        <v>98</v>
      </c>
      <c r="I34" s="207" t="e">
        <f t="shared" si="1"/>
        <v>#VALUE!</v>
      </c>
    </row>
    <row r="35" spans="1:9">
      <c r="A35" s="697" t="s">
        <v>140</v>
      </c>
      <c r="B35" s="127" t="s">
        <v>141</v>
      </c>
      <c r="C35" s="127">
        <v>460</v>
      </c>
      <c r="D35" s="127">
        <v>3</v>
      </c>
      <c r="E35" s="127">
        <v>60</v>
      </c>
      <c r="F35" s="127">
        <v>5</v>
      </c>
      <c r="G35" s="128">
        <f>F35/0.7457</f>
        <v>6.7051092932814802</v>
      </c>
      <c r="H35" s="129">
        <f>G35/0.9</f>
        <v>7.4501214369794226</v>
      </c>
      <c r="I35" s="207">
        <f t="shared" si="1"/>
        <v>16.195916167346571</v>
      </c>
    </row>
    <row r="36" spans="1:9">
      <c r="A36" s="697"/>
      <c r="B36" s="97" t="s">
        <v>142</v>
      </c>
      <c r="C36" s="97">
        <v>460</v>
      </c>
      <c r="D36" s="97">
        <v>3</v>
      </c>
      <c r="E36" s="97">
        <v>60</v>
      </c>
      <c r="F36" s="97">
        <v>5</v>
      </c>
      <c r="G36" s="130">
        <f t="shared" ref="G36:G37" si="5">F36/0.7457</f>
        <v>6.7051092932814802</v>
      </c>
      <c r="H36" s="131">
        <f>G36/0.9</f>
        <v>7.4501214369794226</v>
      </c>
      <c r="I36" s="207">
        <f t="shared" ref="I36:I57" si="6">H36/C36*1000</f>
        <v>16.195916167346571</v>
      </c>
    </row>
    <row r="37" spans="1:9" ht="15.75" thickBot="1">
      <c r="A37" s="698"/>
      <c r="B37" s="103" t="s">
        <v>143</v>
      </c>
      <c r="C37" s="103">
        <v>460</v>
      </c>
      <c r="D37" s="103">
        <v>3</v>
      </c>
      <c r="E37" s="103">
        <v>60</v>
      </c>
      <c r="F37" s="103">
        <v>5</v>
      </c>
      <c r="G37" s="132">
        <f t="shared" si="5"/>
        <v>6.7051092932814802</v>
      </c>
      <c r="H37" s="133">
        <f>G37/0.9</f>
        <v>7.4501214369794226</v>
      </c>
      <c r="I37" s="207">
        <f t="shared" si="6"/>
        <v>16.195916167346571</v>
      </c>
    </row>
    <row r="38" spans="1:9" ht="15.75" hidden="1" thickBot="1">
      <c r="A38" s="71"/>
      <c r="B38" s="699" t="s">
        <v>144</v>
      </c>
      <c r="C38" s="700"/>
      <c r="D38" s="700"/>
      <c r="E38" s="700"/>
      <c r="F38" s="700"/>
      <c r="G38" s="700"/>
      <c r="H38" s="701"/>
      <c r="I38" s="207" t="e">
        <f t="shared" si="6"/>
        <v>#DIV/0!</v>
      </c>
    </row>
    <row r="39" spans="1:9" hidden="1">
      <c r="A39" s="71"/>
      <c r="B39" s="693" t="s">
        <v>91</v>
      </c>
      <c r="C39" s="693" t="s">
        <v>92</v>
      </c>
      <c r="D39" s="693" t="s">
        <v>93</v>
      </c>
      <c r="E39" s="693" t="s">
        <v>94</v>
      </c>
      <c r="F39" s="693" t="s">
        <v>109</v>
      </c>
      <c r="G39" s="695" t="s">
        <v>96</v>
      </c>
      <c r="H39" s="696"/>
      <c r="I39" s="207" t="e">
        <f t="shared" si="6"/>
        <v>#VALUE!</v>
      </c>
    </row>
    <row r="40" spans="1:9" ht="15.75" hidden="1" thickBot="1">
      <c r="A40" s="71"/>
      <c r="B40" s="694"/>
      <c r="C40" s="694"/>
      <c r="D40" s="694"/>
      <c r="E40" s="694"/>
      <c r="F40" s="694"/>
      <c r="G40" s="72" t="s">
        <v>97</v>
      </c>
      <c r="H40" s="73" t="s">
        <v>98</v>
      </c>
      <c r="I40" s="207" t="e">
        <f t="shared" si="6"/>
        <v>#VALUE!</v>
      </c>
    </row>
    <row r="41" spans="1:9">
      <c r="A41" s="681" t="s">
        <v>145</v>
      </c>
      <c r="B41" s="127" t="s">
        <v>146</v>
      </c>
      <c r="C41" s="127">
        <v>480</v>
      </c>
      <c r="D41" s="127">
        <v>3</v>
      </c>
      <c r="E41" s="127">
        <v>60</v>
      </c>
      <c r="F41" s="127">
        <v>75</v>
      </c>
      <c r="G41" s="134">
        <f>F41/0.7457</f>
        <v>100.5766393992222</v>
      </c>
      <c r="H41" s="135">
        <f t="shared" ref="H41:H50" si="7">G41/0.9</f>
        <v>111.75182155469133</v>
      </c>
      <c r="I41" s="206">
        <f t="shared" si="6"/>
        <v>232.81629490560692</v>
      </c>
    </row>
    <row r="42" spans="1:9">
      <c r="A42" s="681"/>
      <c r="B42" s="97" t="s">
        <v>147</v>
      </c>
      <c r="C42" s="97">
        <v>480</v>
      </c>
      <c r="D42" s="97">
        <v>3</v>
      </c>
      <c r="E42" s="97">
        <v>60</v>
      </c>
      <c r="F42" s="97">
        <v>75</v>
      </c>
      <c r="G42" s="92">
        <f t="shared" ref="G42:G44" si="8">F42/0.7457</f>
        <v>100.5766393992222</v>
      </c>
      <c r="H42" s="93">
        <f t="shared" si="7"/>
        <v>111.75182155469133</v>
      </c>
      <c r="I42" s="206">
        <f t="shared" si="6"/>
        <v>232.81629490560692</v>
      </c>
    </row>
    <row r="43" spans="1:9">
      <c r="A43" s="681"/>
      <c r="B43" s="97" t="s">
        <v>148</v>
      </c>
      <c r="C43" s="97">
        <v>480</v>
      </c>
      <c r="D43" s="97">
        <v>3</v>
      </c>
      <c r="E43" s="97">
        <v>60</v>
      </c>
      <c r="F43" s="97">
        <v>15</v>
      </c>
      <c r="G43" s="90">
        <f t="shared" si="8"/>
        <v>20.11532787984444</v>
      </c>
      <c r="H43" s="91">
        <f t="shared" si="7"/>
        <v>22.350364310938264</v>
      </c>
      <c r="I43" s="207">
        <f t="shared" si="6"/>
        <v>46.563258981121379</v>
      </c>
    </row>
    <row r="44" spans="1:9">
      <c r="A44" s="681"/>
      <c r="B44" s="136" t="s">
        <v>149</v>
      </c>
      <c r="C44" s="97">
        <v>480</v>
      </c>
      <c r="D44" s="97">
        <v>3</v>
      </c>
      <c r="E44" s="97">
        <v>60</v>
      </c>
      <c r="F44" s="136">
        <v>15</v>
      </c>
      <c r="G44" s="90">
        <f t="shared" si="8"/>
        <v>20.11532787984444</v>
      </c>
      <c r="H44" s="91">
        <f t="shared" si="7"/>
        <v>22.350364310938264</v>
      </c>
      <c r="I44" s="207">
        <f t="shared" si="6"/>
        <v>46.563258981121379</v>
      </c>
    </row>
    <row r="45" spans="1:9">
      <c r="A45" s="681"/>
      <c r="B45" s="97" t="s">
        <v>150</v>
      </c>
      <c r="C45" s="97">
        <v>480</v>
      </c>
      <c r="D45" s="97">
        <v>3</v>
      </c>
      <c r="E45" s="97">
        <v>60</v>
      </c>
      <c r="F45" s="137" t="s">
        <v>151</v>
      </c>
      <c r="G45" s="138">
        <f>1.5/0.7457</f>
        <v>2.0115327879844442</v>
      </c>
      <c r="H45" s="139">
        <f t="shared" si="7"/>
        <v>2.2350364310938269</v>
      </c>
      <c r="I45" s="208">
        <f t="shared" si="6"/>
        <v>4.6563258981121391</v>
      </c>
    </row>
    <row r="46" spans="1:9">
      <c r="A46" s="681"/>
      <c r="B46" s="136" t="s">
        <v>152</v>
      </c>
      <c r="C46" s="97">
        <v>480</v>
      </c>
      <c r="D46" s="97">
        <v>3</v>
      </c>
      <c r="E46" s="97">
        <v>60</v>
      </c>
      <c r="F46" s="137" t="s">
        <v>151</v>
      </c>
      <c r="G46" s="138">
        <f t="shared" ref="G46:G50" si="9">1.5/0.7457</f>
        <v>2.0115327879844442</v>
      </c>
      <c r="H46" s="139">
        <f t="shared" si="7"/>
        <v>2.2350364310938269</v>
      </c>
      <c r="I46" s="208">
        <f t="shared" si="6"/>
        <v>4.6563258981121391</v>
      </c>
    </row>
    <row r="47" spans="1:9">
      <c r="A47" s="681"/>
      <c r="B47" s="97" t="s">
        <v>153</v>
      </c>
      <c r="C47" s="97">
        <v>480</v>
      </c>
      <c r="D47" s="97">
        <v>3</v>
      </c>
      <c r="E47" s="97">
        <v>60</v>
      </c>
      <c r="F47" s="137" t="s">
        <v>151</v>
      </c>
      <c r="G47" s="138">
        <f t="shared" si="9"/>
        <v>2.0115327879844442</v>
      </c>
      <c r="H47" s="139">
        <f t="shared" si="7"/>
        <v>2.2350364310938269</v>
      </c>
      <c r="I47" s="208">
        <f t="shared" si="6"/>
        <v>4.6563258981121391</v>
      </c>
    </row>
    <row r="48" spans="1:9">
      <c r="A48" s="681"/>
      <c r="B48" s="136" t="s">
        <v>154</v>
      </c>
      <c r="C48" s="97">
        <v>480</v>
      </c>
      <c r="D48" s="97">
        <v>3</v>
      </c>
      <c r="E48" s="97">
        <v>60</v>
      </c>
      <c r="F48" s="137" t="s">
        <v>151</v>
      </c>
      <c r="G48" s="138">
        <f t="shared" si="9"/>
        <v>2.0115327879844442</v>
      </c>
      <c r="H48" s="139">
        <f t="shared" si="7"/>
        <v>2.2350364310938269</v>
      </c>
      <c r="I48" s="208">
        <f t="shared" si="6"/>
        <v>4.6563258981121391</v>
      </c>
    </row>
    <row r="49" spans="1:9">
      <c r="A49" s="681"/>
      <c r="B49" s="136" t="s">
        <v>155</v>
      </c>
      <c r="C49" s="97">
        <v>480</v>
      </c>
      <c r="D49" s="97">
        <v>3</v>
      </c>
      <c r="E49" s="97">
        <v>60</v>
      </c>
      <c r="F49" s="137" t="s">
        <v>151</v>
      </c>
      <c r="G49" s="138">
        <f t="shared" si="9"/>
        <v>2.0115327879844442</v>
      </c>
      <c r="H49" s="139">
        <f t="shared" si="7"/>
        <v>2.2350364310938269</v>
      </c>
      <c r="I49" s="208">
        <f t="shared" si="6"/>
        <v>4.6563258981121391</v>
      </c>
    </row>
    <row r="50" spans="1:9" ht="15.75" thickBot="1">
      <c r="A50" s="682"/>
      <c r="B50" s="140" t="s">
        <v>156</v>
      </c>
      <c r="C50" s="141">
        <v>480</v>
      </c>
      <c r="D50" s="141">
        <v>3</v>
      </c>
      <c r="E50" s="141">
        <v>60</v>
      </c>
      <c r="F50" s="142" t="s">
        <v>151</v>
      </c>
      <c r="G50" s="143">
        <f t="shared" si="9"/>
        <v>2.0115327879844442</v>
      </c>
      <c r="H50" s="144">
        <f t="shared" si="7"/>
        <v>2.2350364310938269</v>
      </c>
      <c r="I50" s="208">
        <f t="shared" si="6"/>
        <v>4.6563258981121391</v>
      </c>
    </row>
    <row r="51" spans="1:9" ht="15.75" hidden="1" thickBot="1">
      <c r="A51" s="145"/>
      <c r="B51" s="690" t="s">
        <v>157</v>
      </c>
      <c r="C51" s="691"/>
      <c r="D51" s="691"/>
      <c r="E51" s="691"/>
      <c r="F51" s="691"/>
      <c r="G51" s="691"/>
      <c r="H51" s="692"/>
      <c r="I51" s="208" t="e">
        <f t="shared" si="6"/>
        <v>#DIV/0!</v>
      </c>
    </row>
    <row r="52" spans="1:9" ht="12.75" hidden="1" customHeight="1">
      <c r="A52" s="71"/>
      <c r="B52" s="693" t="s">
        <v>91</v>
      </c>
      <c r="C52" s="693" t="s">
        <v>92</v>
      </c>
      <c r="D52" s="693" t="s">
        <v>93</v>
      </c>
      <c r="E52" s="693" t="s">
        <v>94</v>
      </c>
      <c r="F52" s="693" t="s">
        <v>109</v>
      </c>
      <c r="G52" s="695" t="s">
        <v>96</v>
      </c>
      <c r="H52" s="696"/>
      <c r="I52" s="208" t="e">
        <f t="shared" si="6"/>
        <v>#VALUE!</v>
      </c>
    </row>
    <row r="53" spans="1:9" ht="12.75" hidden="1" customHeight="1" thickBot="1">
      <c r="A53" s="71"/>
      <c r="B53" s="694"/>
      <c r="C53" s="694"/>
      <c r="D53" s="694"/>
      <c r="E53" s="694"/>
      <c r="F53" s="694"/>
      <c r="G53" s="72" t="s">
        <v>97</v>
      </c>
      <c r="H53" s="73" t="s">
        <v>98</v>
      </c>
      <c r="I53" s="208" t="e">
        <f t="shared" si="6"/>
        <v>#VALUE!</v>
      </c>
    </row>
    <row r="54" spans="1:9">
      <c r="A54" s="681" t="s">
        <v>158</v>
      </c>
      <c r="B54" s="127" t="s">
        <v>159</v>
      </c>
      <c r="C54" s="127">
        <v>120</v>
      </c>
      <c r="D54" s="127">
        <v>1</v>
      </c>
      <c r="E54" s="127">
        <v>60</v>
      </c>
      <c r="F54" s="146">
        <v>0.16666666666666666</v>
      </c>
      <c r="G54" s="147">
        <f>F54/0.7457</f>
        <v>0.22350364310938267</v>
      </c>
      <c r="H54" s="148">
        <f>G54/0.85</f>
        <v>0.2629454624816267</v>
      </c>
      <c r="I54" s="208">
        <f t="shared" si="6"/>
        <v>2.1912121873468888</v>
      </c>
    </row>
    <row r="55" spans="1:9">
      <c r="A55" s="681"/>
      <c r="B55" s="97" t="s">
        <v>160</v>
      </c>
      <c r="C55" s="97">
        <v>120</v>
      </c>
      <c r="D55" s="97">
        <v>1</v>
      </c>
      <c r="E55" s="97">
        <v>60</v>
      </c>
      <c r="F55" s="149">
        <v>0.16666666666666666</v>
      </c>
      <c r="G55" s="150">
        <f t="shared" ref="G55" si="10">F55/0.7457</f>
        <v>0.22350364310938267</v>
      </c>
      <c r="H55" s="151">
        <f>G55/0.85</f>
        <v>0.2629454624816267</v>
      </c>
      <c r="I55" s="208">
        <f t="shared" si="6"/>
        <v>2.1912121873468888</v>
      </c>
    </row>
    <row r="56" spans="1:9">
      <c r="A56" s="681"/>
      <c r="B56" s="97" t="s">
        <v>161</v>
      </c>
      <c r="C56" s="97">
        <v>120</v>
      </c>
      <c r="D56" s="97">
        <v>1</v>
      </c>
      <c r="E56" s="97">
        <v>60</v>
      </c>
      <c r="F56" s="149">
        <v>0.16666666666666666</v>
      </c>
      <c r="G56" s="150">
        <f>F56/0.7457</f>
        <v>0.22350364310938267</v>
      </c>
      <c r="H56" s="151">
        <f>G56/0.85</f>
        <v>0.2629454624816267</v>
      </c>
      <c r="I56" s="208">
        <f t="shared" si="6"/>
        <v>2.1912121873468888</v>
      </c>
    </row>
    <row r="57" spans="1:9" ht="15.75" thickBot="1">
      <c r="A57" s="682"/>
      <c r="B57" s="140" t="s">
        <v>162</v>
      </c>
      <c r="C57" s="141">
        <v>120</v>
      </c>
      <c r="D57" s="141">
        <v>1</v>
      </c>
      <c r="E57" s="141">
        <v>60</v>
      </c>
      <c r="F57" s="152">
        <v>0.16666666666666666</v>
      </c>
      <c r="G57" s="153">
        <f>F57/0.7457</f>
        <v>0.22350364310938267</v>
      </c>
      <c r="H57" s="154">
        <f>G57/0.85</f>
        <v>0.2629454624816267</v>
      </c>
      <c r="I57" s="208">
        <f t="shared" si="6"/>
        <v>2.1912121873468888</v>
      </c>
    </row>
    <row r="58" spans="1:9">
      <c r="A58" s="155"/>
      <c r="B58" s="156"/>
      <c r="C58" s="156"/>
      <c r="D58" s="156"/>
      <c r="E58" s="156"/>
      <c r="F58" s="157"/>
      <c r="G58" s="158"/>
      <c r="H58" s="158"/>
      <c r="I58" s="207"/>
    </row>
    <row r="59" spans="1:9" ht="15.75" hidden="1" thickBot="1">
      <c r="A59" s="71"/>
      <c r="B59" s="683" t="s">
        <v>89</v>
      </c>
      <c r="C59" s="684"/>
      <c r="D59" s="684"/>
      <c r="E59" s="684"/>
      <c r="F59" s="684"/>
      <c r="G59" s="684"/>
      <c r="H59" s="685"/>
      <c r="I59" s="207"/>
    </row>
    <row r="60" spans="1:9" ht="12.75" customHeight="1">
      <c r="A60" s="686" t="s">
        <v>90</v>
      </c>
      <c r="B60" s="686" t="s">
        <v>91</v>
      </c>
      <c r="C60" s="686" t="s">
        <v>92</v>
      </c>
      <c r="D60" s="686" t="s">
        <v>93</v>
      </c>
      <c r="E60" s="686" t="s">
        <v>94</v>
      </c>
      <c r="F60" s="686" t="s">
        <v>95</v>
      </c>
      <c r="G60" s="688" t="s">
        <v>96</v>
      </c>
      <c r="H60" s="689"/>
      <c r="I60" s="207"/>
    </row>
    <row r="61" spans="1:9" ht="12.75" customHeight="1" thickBot="1">
      <c r="A61" s="687"/>
      <c r="B61" s="687"/>
      <c r="C61" s="687"/>
      <c r="D61" s="687"/>
      <c r="E61" s="687"/>
      <c r="F61" s="687"/>
      <c r="G61" s="176" t="s">
        <v>97</v>
      </c>
      <c r="H61" s="177" t="s">
        <v>98</v>
      </c>
      <c r="I61" s="207"/>
    </row>
    <row r="62" spans="1:9" ht="15.75" thickTop="1">
      <c r="A62" s="678" t="s">
        <v>99</v>
      </c>
      <c r="B62" s="74" t="s">
        <v>100</v>
      </c>
      <c r="C62" s="74">
        <v>115</v>
      </c>
      <c r="D62" s="74">
        <v>1</v>
      </c>
      <c r="E62" s="74">
        <v>60</v>
      </c>
      <c r="F62" s="74">
        <v>1.7</v>
      </c>
      <c r="G62" s="75">
        <f>0.85*H62</f>
        <v>0.16617499999999999</v>
      </c>
      <c r="H62" s="76">
        <f>C62*F62/1000</f>
        <v>0.19550000000000001</v>
      </c>
      <c r="I62" s="208">
        <f t="shared" ref="I62:I67" si="11">H62/C62*1000</f>
        <v>1.7000000000000002</v>
      </c>
    </row>
    <row r="63" spans="1:9">
      <c r="A63" s="679"/>
      <c r="B63" s="77" t="s">
        <v>101</v>
      </c>
      <c r="C63" s="77">
        <v>115</v>
      </c>
      <c r="D63" s="77">
        <v>1</v>
      </c>
      <c r="E63" s="77">
        <v>60</v>
      </c>
      <c r="F63" s="77">
        <v>2.1</v>
      </c>
      <c r="G63" s="78">
        <f>0.85*H63</f>
        <v>0.20527499999999999</v>
      </c>
      <c r="H63" s="79">
        <f>C63*F63/1000</f>
        <v>0.24149999999999999</v>
      </c>
      <c r="I63" s="208">
        <f t="shared" si="11"/>
        <v>2.1</v>
      </c>
    </row>
    <row r="64" spans="1:9">
      <c r="A64" s="679"/>
      <c r="B64" s="77" t="s">
        <v>102</v>
      </c>
      <c r="C64" s="77">
        <v>115</v>
      </c>
      <c r="D64" s="77">
        <v>1</v>
      </c>
      <c r="E64" s="77">
        <v>60</v>
      </c>
      <c r="F64" s="80" t="s">
        <v>103</v>
      </c>
      <c r="G64" s="78">
        <f>0.5/0.7457</f>
        <v>0.67051092932814804</v>
      </c>
      <c r="H64" s="81">
        <f>G64/0.85</f>
        <v>0.78883638744488005</v>
      </c>
      <c r="I64" s="208">
        <f t="shared" si="11"/>
        <v>6.8594468473467831</v>
      </c>
    </row>
    <row r="65" spans="1:9">
      <c r="A65" s="679"/>
      <c r="B65" s="77" t="s">
        <v>104</v>
      </c>
      <c r="C65" s="77">
        <v>115</v>
      </c>
      <c r="D65" s="77">
        <v>1</v>
      </c>
      <c r="E65" s="77">
        <v>60</v>
      </c>
      <c r="F65" s="77" t="s">
        <v>105</v>
      </c>
      <c r="G65" s="78">
        <f>1/0.7457</f>
        <v>1.3410218586562961</v>
      </c>
      <c r="H65" s="81">
        <f>G65/0.85</f>
        <v>1.5776727748897601</v>
      </c>
      <c r="I65" s="207">
        <f t="shared" si="11"/>
        <v>13.718893694693566</v>
      </c>
    </row>
    <row r="66" spans="1:9">
      <c r="A66" s="679"/>
      <c r="B66" s="77" t="s">
        <v>106</v>
      </c>
      <c r="C66" s="77">
        <v>115</v>
      </c>
      <c r="D66" s="77">
        <v>1</v>
      </c>
      <c r="E66" s="77">
        <v>60</v>
      </c>
      <c r="F66" s="77" t="s">
        <v>103</v>
      </c>
      <c r="G66" s="82">
        <f>0.5/0.7457</f>
        <v>0.67051092932814804</v>
      </c>
      <c r="H66" s="81">
        <f>G66/0.85</f>
        <v>0.78883638744488005</v>
      </c>
      <c r="I66" s="208">
        <f t="shared" si="11"/>
        <v>6.8594468473467831</v>
      </c>
    </row>
    <row r="67" spans="1:9">
      <c r="A67" s="680"/>
      <c r="B67" s="83" t="s">
        <v>107</v>
      </c>
      <c r="C67" s="83">
        <v>115</v>
      </c>
      <c r="D67" s="83">
        <v>1</v>
      </c>
      <c r="E67" s="83">
        <v>60</v>
      </c>
      <c r="F67" s="83">
        <v>2.6</v>
      </c>
      <c r="G67" s="84">
        <f>0.85*H67</f>
        <v>0.25414999999999999</v>
      </c>
      <c r="H67" s="85">
        <f>C67*F67/1000</f>
        <v>0.29899999999999999</v>
      </c>
      <c r="I67" s="208">
        <f t="shared" si="11"/>
        <v>2.6</v>
      </c>
    </row>
    <row r="71" spans="1:9">
      <c r="B71" s="4"/>
    </row>
  </sheetData>
  <mergeCells count="50">
    <mergeCell ref="B1:H1"/>
    <mergeCell ref="A2:A3"/>
    <mergeCell ref="B2:B3"/>
    <mergeCell ref="C2:C3"/>
    <mergeCell ref="D2:D3"/>
    <mergeCell ref="E2:E3"/>
    <mergeCell ref="F2:F3"/>
    <mergeCell ref="G2:I2"/>
    <mergeCell ref="A4:A13"/>
    <mergeCell ref="B14:H14"/>
    <mergeCell ref="B15:B16"/>
    <mergeCell ref="C15:C16"/>
    <mergeCell ref="D15:D16"/>
    <mergeCell ref="E15:E16"/>
    <mergeCell ref="F15:F16"/>
    <mergeCell ref="G15:H15"/>
    <mergeCell ref="A17:A31"/>
    <mergeCell ref="B32:H32"/>
    <mergeCell ref="B33:B34"/>
    <mergeCell ref="C33:C34"/>
    <mergeCell ref="D33:D34"/>
    <mergeCell ref="E33:E34"/>
    <mergeCell ref="F33:F34"/>
    <mergeCell ref="G33:H33"/>
    <mergeCell ref="A35:A37"/>
    <mergeCell ref="B38:H38"/>
    <mergeCell ref="B39:B40"/>
    <mergeCell ref="C39:C40"/>
    <mergeCell ref="D39:D40"/>
    <mergeCell ref="E39:E40"/>
    <mergeCell ref="F39:F40"/>
    <mergeCell ref="G39:H39"/>
    <mergeCell ref="A41:A50"/>
    <mergeCell ref="B51:H51"/>
    <mergeCell ref="B52:B53"/>
    <mergeCell ref="C52:C53"/>
    <mergeCell ref="D52:D53"/>
    <mergeCell ref="E52:E53"/>
    <mergeCell ref="F52:F53"/>
    <mergeCell ref="G52:H52"/>
    <mergeCell ref="A62:A67"/>
    <mergeCell ref="A54:A57"/>
    <mergeCell ref="B59:H59"/>
    <mergeCell ref="A60:A61"/>
    <mergeCell ref="B60:B61"/>
    <mergeCell ref="C60:C61"/>
    <mergeCell ref="D60:D61"/>
    <mergeCell ref="E60:E61"/>
    <mergeCell ref="F60:F61"/>
    <mergeCell ref="G60:H6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N20" sqref="N20"/>
    </sheetView>
  </sheetViews>
  <sheetFormatPr defaultRowHeight="15"/>
  <cols>
    <col min="1" max="1" width="3" bestFit="1" customWidth="1"/>
    <col min="3" max="4" width="7.5703125" style="205" customWidth="1"/>
    <col min="5" max="5" width="5.140625" style="2" customWidth="1"/>
  </cols>
  <sheetData>
    <row r="1" spans="1:5" s="174" customFormat="1">
      <c r="B1" s="174" t="s">
        <v>91</v>
      </c>
      <c r="C1" s="269" t="s">
        <v>269</v>
      </c>
      <c r="D1" s="269" t="s">
        <v>270</v>
      </c>
      <c r="E1" s="270" t="s">
        <v>271</v>
      </c>
    </row>
    <row r="2" spans="1:5">
      <c r="A2">
        <v>1</v>
      </c>
      <c r="B2" s="1" t="s">
        <v>150</v>
      </c>
      <c r="C2" s="205">
        <v>1.5</v>
      </c>
      <c r="E2" s="2">
        <v>3</v>
      </c>
    </row>
    <row r="3" spans="1:5">
      <c r="A3">
        <v>2</v>
      </c>
      <c r="B3" s="1" t="s">
        <v>152</v>
      </c>
      <c r="C3" s="205">
        <v>1.5</v>
      </c>
      <c r="E3" s="2">
        <v>3</v>
      </c>
    </row>
    <row r="4" spans="1:5">
      <c r="A4">
        <v>3</v>
      </c>
      <c r="B4" s="1" t="s">
        <v>153</v>
      </c>
      <c r="C4" s="205">
        <v>1.5</v>
      </c>
      <c r="E4" s="2">
        <v>3</v>
      </c>
    </row>
    <row r="5" spans="1:5">
      <c r="A5">
        <v>4</v>
      </c>
      <c r="B5" s="1" t="s">
        <v>154</v>
      </c>
      <c r="C5" s="205">
        <v>1.5</v>
      </c>
      <c r="E5" s="2">
        <v>3</v>
      </c>
    </row>
    <row r="6" spans="1:5">
      <c r="A6">
        <v>5</v>
      </c>
      <c r="B6" s="1" t="s">
        <v>155</v>
      </c>
      <c r="C6" s="205">
        <v>1.5</v>
      </c>
      <c r="E6" s="2">
        <v>3</v>
      </c>
    </row>
    <row r="7" spans="1:5">
      <c r="A7">
        <v>6</v>
      </c>
      <c r="B7" s="1" t="s">
        <v>156</v>
      </c>
      <c r="C7" s="205">
        <v>1.5</v>
      </c>
      <c r="E7" s="2">
        <v>3</v>
      </c>
    </row>
    <row r="8" spans="1:5">
      <c r="A8">
        <v>7</v>
      </c>
      <c r="B8" s="1" t="s">
        <v>272</v>
      </c>
      <c r="C8" s="205">
        <v>5</v>
      </c>
      <c r="E8" s="2">
        <v>7.6</v>
      </c>
    </row>
    <row r="9" spans="1:5">
      <c r="A9">
        <v>8</v>
      </c>
      <c r="B9" s="1" t="s">
        <v>133</v>
      </c>
      <c r="C9" s="205">
        <v>10</v>
      </c>
      <c r="E9" s="2">
        <v>13</v>
      </c>
    </row>
    <row r="10" spans="1:5">
      <c r="A10">
        <v>9</v>
      </c>
      <c r="B10" s="1" t="s">
        <v>137</v>
      </c>
      <c r="C10" s="205">
        <v>5</v>
      </c>
      <c r="E10" s="2">
        <v>7.6</v>
      </c>
    </row>
    <row r="11" spans="1:5">
      <c r="A11">
        <v>10</v>
      </c>
      <c r="B11" s="1" t="s">
        <v>182</v>
      </c>
      <c r="C11" s="205">
        <v>15</v>
      </c>
      <c r="E11" s="2" t="s">
        <v>273</v>
      </c>
    </row>
    <row r="12" spans="1:5">
      <c r="A12">
        <v>11</v>
      </c>
      <c r="B12" s="1" t="s">
        <v>183</v>
      </c>
      <c r="C12" s="205" t="s">
        <v>273</v>
      </c>
      <c r="E12" s="2" t="s">
        <v>273</v>
      </c>
    </row>
    <row r="13" spans="1:5">
      <c r="A13">
        <v>12</v>
      </c>
      <c r="B13" s="1" t="s">
        <v>183</v>
      </c>
      <c r="C13" s="205" t="s">
        <v>273</v>
      </c>
      <c r="E13" s="2" t="s">
        <v>273</v>
      </c>
    </row>
    <row r="14" spans="1:5">
      <c r="D14" s="205" t="s">
        <v>274</v>
      </c>
      <c r="E14" s="2">
        <f>SUM(E2:E10)</f>
        <v>46.2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32"/>
  <sheetViews>
    <sheetView workbookViewId="0">
      <selection activeCell="F23" sqref="F23"/>
    </sheetView>
  </sheetViews>
  <sheetFormatPr defaultRowHeight="15"/>
  <cols>
    <col min="1" max="1" width="3.28515625" style="3" customWidth="1"/>
    <col min="2" max="2" width="25.28515625" bestFit="1" customWidth="1"/>
    <col min="3" max="3" width="7.42578125" style="2" customWidth="1"/>
    <col min="4" max="5" width="3.42578125" customWidth="1"/>
    <col min="6" max="6" width="25.28515625" bestFit="1" customWidth="1"/>
    <col min="7" max="7" width="6.42578125" customWidth="1"/>
    <col min="8" max="8" width="3.28515625" customWidth="1"/>
    <col min="9" max="9" width="3.7109375" customWidth="1"/>
    <col min="10" max="10" width="25.28515625" bestFit="1" customWidth="1"/>
    <col min="11" max="11" width="6.5703125" customWidth="1"/>
    <col min="12" max="12" width="3.140625" customWidth="1"/>
    <col min="13" max="13" width="3.42578125" customWidth="1"/>
    <col min="14" max="14" width="25.28515625" bestFit="1" customWidth="1"/>
    <col min="15" max="15" width="6.28515625" customWidth="1"/>
  </cols>
  <sheetData>
    <row r="1" spans="1:15" ht="29.25" thickBot="1">
      <c r="A1" s="163"/>
      <c r="B1" s="164" t="s">
        <v>5</v>
      </c>
      <c r="C1" s="165" t="s">
        <v>6</v>
      </c>
      <c r="D1" s="15"/>
      <c r="E1" s="166"/>
      <c r="F1" s="164" t="s">
        <v>7</v>
      </c>
      <c r="G1" s="165" t="s">
        <v>6</v>
      </c>
      <c r="H1" s="15"/>
      <c r="I1" s="166"/>
      <c r="J1" s="164" t="s">
        <v>8</v>
      </c>
      <c r="K1" s="165" t="s">
        <v>6</v>
      </c>
      <c r="L1" s="15"/>
      <c r="M1" s="166"/>
      <c r="N1" s="164" t="s">
        <v>9</v>
      </c>
      <c r="O1" s="165" t="s">
        <v>6</v>
      </c>
    </row>
    <row r="2" spans="1:15">
      <c r="A2" s="9">
        <v>1</v>
      </c>
      <c r="B2" s="4"/>
      <c r="C2" s="5">
        <v>520</v>
      </c>
      <c r="D2" s="4"/>
      <c r="E2" s="9">
        <v>1</v>
      </c>
      <c r="F2" s="4"/>
      <c r="G2" s="5">
        <v>440</v>
      </c>
      <c r="I2" s="9">
        <v>1</v>
      </c>
      <c r="J2" s="4"/>
      <c r="K2" s="5">
        <v>520</v>
      </c>
      <c r="L2" s="1"/>
      <c r="M2" s="9">
        <v>1</v>
      </c>
      <c r="N2" s="4"/>
      <c r="O2" s="5">
        <v>800</v>
      </c>
    </row>
    <row r="3" spans="1:15">
      <c r="A3" s="9">
        <v>2</v>
      </c>
      <c r="B3" s="4"/>
      <c r="C3" s="6">
        <v>400</v>
      </c>
      <c r="D3" s="4"/>
      <c r="E3" s="9">
        <v>2</v>
      </c>
      <c r="F3" s="4"/>
      <c r="G3" s="6">
        <v>100</v>
      </c>
      <c r="I3" s="9">
        <v>2</v>
      </c>
      <c r="J3" s="4"/>
      <c r="K3" s="6">
        <v>400</v>
      </c>
      <c r="L3" s="1"/>
      <c r="M3" s="9">
        <v>2</v>
      </c>
      <c r="N3" s="4"/>
      <c r="O3" s="5">
        <v>800</v>
      </c>
    </row>
    <row r="4" spans="1:15">
      <c r="A4" s="9">
        <v>3</v>
      </c>
      <c r="B4" s="4"/>
      <c r="C4" s="6">
        <v>100</v>
      </c>
      <c r="D4" s="4"/>
      <c r="E4" s="9">
        <v>3</v>
      </c>
      <c r="F4" s="4"/>
      <c r="G4" s="6">
        <v>100</v>
      </c>
      <c r="I4" s="9">
        <v>3</v>
      </c>
      <c r="J4" s="4"/>
      <c r="K4" s="6">
        <v>100</v>
      </c>
      <c r="L4" s="1"/>
      <c r="M4" s="9">
        <v>3</v>
      </c>
      <c r="N4" s="4"/>
      <c r="O4" s="5">
        <v>800</v>
      </c>
    </row>
    <row r="5" spans="1:15">
      <c r="A5" s="9">
        <v>4</v>
      </c>
      <c r="B5" s="4"/>
      <c r="C5" s="6">
        <v>100</v>
      </c>
      <c r="D5" s="4"/>
      <c r="E5" s="9">
        <v>4</v>
      </c>
      <c r="F5" s="4"/>
      <c r="G5" s="6">
        <v>100</v>
      </c>
      <c r="I5" s="9">
        <v>4</v>
      </c>
      <c r="J5" s="4"/>
      <c r="K5" s="6">
        <v>100</v>
      </c>
      <c r="L5" s="1"/>
      <c r="M5" s="9">
        <v>4</v>
      </c>
      <c r="N5" s="4"/>
      <c r="O5" s="5">
        <v>800</v>
      </c>
    </row>
    <row r="6" spans="1:15">
      <c r="A6" s="9">
        <v>5</v>
      </c>
      <c r="B6" s="4"/>
      <c r="C6" s="6">
        <v>100</v>
      </c>
      <c r="D6" s="4"/>
      <c r="E6" s="9">
        <v>5</v>
      </c>
      <c r="F6" s="4"/>
      <c r="G6" s="6">
        <v>50</v>
      </c>
      <c r="I6" s="9">
        <v>5</v>
      </c>
      <c r="J6" s="4"/>
      <c r="K6" s="6">
        <v>100</v>
      </c>
      <c r="L6" s="1"/>
      <c r="M6" s="9">
        <v>5</v>
      </c>
      <c r="N6" s="4"/>
      <c r="O6" s="6">
        <v>200</v>
      </c>
    </row>
    <row r="7" spans="1:15">
      <c r="A7" s="9">
        <v>6</v>
      </c>
      <c r="B7" s="11"/>
      <c r="C7" s="12"/>
      <c r="D7" s="4"/>
      <c r="E7" s="9">
        <v>6</v>
      </c>
      <c r="F7" s="11"/>
      <c r="G7" s="12"/>
      <c r="I7" s="9">
        <v>6</v>
      </c>
      <c r="J7" s="11"/>
      <c r="K7" s="12"/>
      <c r="L7" s="1"/>
      <c r="M7" s="9">
        <v>6</v>
      </c>
      <c r="N7" s="4"/>
      <c r="O7" s="6">
        <v>50</v>
      </c>
    </row>
    <row r="8" spans="1:15">
      <c r="A8" s="9">
        <v>7</v>
      </c>
      <c r="B8" s="11"/>
      <c r="C8" s="12"/>
      <c r="D8" s="4"/>
      <c r="E8" s="9">
        <v>7</v>
      </c>
      <c r="F8" s="11"/>
      <c r="G8" s="12"/>
      <c r="I8" s="9">
        <v>7</v>
      </c>
      <c r="J8" s="11"/>
      <c r="K8" s="12"/>
      <c r="L8" s="1"/>
      <c r="M8" s="9">
        <v>7</v>
      </c>
      <c r="N8" s="4"/>
      <c r="O8" s="6">
        <v>200</v>
      </c>
    </row>
    <row r="9" spans="1:15">
      <c r="A9" s="9">
        <v>8</v>
      </c>
      <c r="B9" s="11"/>
      <c r="C9" s="12"/>
      <c r="D9" s="4"/>
      <c r="E9" s="9">
        <v>8</v>
      </c>
      <c r="F9" s="11"/>
      <c r="G9" s="12"/>
      <c r="I9" s="9">
        <v>8</v>
      </c>
      <c r="J9" s="11"/>
      <c r="K9" s="12"/>
      <c r="L9" s="1"/>
      <c r="M9" s="9">
        <v>8</v>
      </c>
      <c r="N9" s="4"/>
      <c r="O9" s="6">
        <v>200</v>
      </c>
    </row>
    <row r="10" spans="1:15">
      <c r="A10" s="9">
        <v>9</v>
      </c>
      <c r="B10" s="4"/>
      <c r="C10" s="6">
        <v>520</v>
      </c>
      <c r="D10" s="4"/>
      <c r="E10" s="9">
        <v>9</v>
      </c>
      <c r="F10" s="4"/>
      <c r="G10" s="6">
        <v>440</v>
      </c>
      <c r="I10" s="9">
        <v>9</v>
      </c>
      <c r="J10" s="4"/>
      <c r="K10" s="6">
        <v>150</v>
      </c>
      <c r="L10" s="1"/>
      <c r="M10" s="9">
        <v>9</v>
      </c>
      <c r="N10" s="11"/>
      <c r="O10" s="12"/>
    </row>
    <row r="11" spans="1:15">
      <c r="A11" s="9">
        <v>10</v>
      </c>
      <c r="B11" s="4"/>
      <c r="C11" s="6">
        <v>400</v>
      </c>
      <c r="D11" s="4"/>
      <c r="E11" s="9">
        <v>10</v>
      </c>
      <c r="F11" s="4"/>
      <c r="G11" s="6">
        <v>100</v>
      </c>
      <c r="I11" s="9">
        <v>10</v>
      </c>
      <c r="J11" s="4"/>
      <c r="K11" s="6">
        <v>50</v>
      </c>
      <c r="L11" s="1"/>
      <c r="M11" s="9">
        <v>10</v>
      </c>
      <c r="N11" s="4"/>
      <c r="O11" s="6">
        <v>1000</v>
      </c>
    </row>
    <row r="12" spans="1:15">
      <c r="A12" s="9">
        <v>11</v>
      </c>
      <c r="B12" s="4"/>
      <c r="C12" s="6">
        <v>100</v>
      </c>
      <c r="D12" s="4"/>
      <c r="E12" s="9">
        <v>11</v>
      </c>
      <c r="F12" s="4"/>
      <c r="G12" s="6">
        <v>100</v>
      </c>
      <c r="I12" s="9">
        <v>11</v>
      </c>
      <c r="J12" s="4"/>
      <c r="K12" s="6">
        <v>150</v>
      </c>
      <c r="L12" s="1"/>
      <c r="M12" s="9">
        <v>11</v>
      </c>
      <c r="N12" s="4"/>
      <c r="O12" s="6">
        <v>1000</v>
      </c>
    </row>
    <row r="13" spans="1:15">
      <c r="A13" s="9">
        <v>12</v>
      </c>
      <c r="B13" s="4"/>
      <c r="C13" s="6">
        <v>100</v>
      </c>
      <c r="D13" s="4"/>
      <c r="E13" s="9">
        <v>12</v>
      </c>
      <c r="F13" s="4"/>
      <c r="G13" s="6">
        <v>100</v>
      </c>
      <c r="I13" s="9">
        <v>12</v>
      </c>
      <c r="J13" s="4"/>
      <c r="K13" s="6">
        <v>600</v>
      </c>
      <c r="L13" s="1"/>
      <c r="M13" s="9">
        <v>12</v>
      </c>
      <c r="N13" s="4"/>
      <c r="O13" s="6">
        <v>500</v>
      </c>
    </row>
    <row r="14" spans="1:15">
      <c r="A14" s="9">
        <v>13</v>
      </c>
      <c r="B14" s="4"/>
      <c r="C14" s="6">
        <v>100</v>
      </c>
      <c r="D14" s="4"/>
      <c r="E14" s="9">
        <v>13</v>
      </c>
      <c r="F14" s="11"/>
      <c r="G14" s="12"/>
      <c r="I14" s="9">
        <v>13</v>
      </c>
      <c r="J14" s="11"/>
      <c r="K14" s="12"/>
      <c r="L14" s="1"/>
      <c r="M14" s="9">
        <v>13</v>
      </c>
      <c r="N14" s="11"/>
      <c r="O14" s="12"/>
    </row>
    <row r="15" spans="1:15">
      <c r="A15" s="9">
        <v>14</v>
      </c>
      <c r="B15" s="4"/>
      <c r="C15" s="6">
        <v>100</v>
      </c>
      <c r="D15" s="4"/>
      <c r="E15" s="9">
        <v>14</v>
      </c>
      <c r="F15" s="11"/>
      <c r="G15" s="12"/>
      <c r="I15" s="9">
        <v>14</v>
      </c>
      <c r="J15" s="4"/>
      <c r="K15" s="6">
        <v>50</v>
      </c>
      <c r="L15" s="1"/>
      <c r="M15" s="9">
        <v>14</v>
      </c>
      <c r="N15" s="11"/>
      <c r="O15" s="12"/>
    </row>
    <row r="16" spans="1:15">
      <c r="A16" s="9">
        <v>15</v>
      </c>
      <c r="B16" s="4"/>
      <c r="C16" s="6">
        <v>100</v>
      </c>
      <c r="D16" s="4"/>
      <c r="E16" s="9">
        <v>15</v>
      </c>
      <c r="F16" s="4"/>
      <c r="G16" s="6">
        <v>600</v>
      </c>
      <c r="I16" s="9">
        <v>15</v>
      </c>
      <c r="J16" s="4"/>
      <c r="K16" s="6">
        <v>50</v>
      </c>
      <c r="L16" s="1"/>
      <c r="M16" s="9">
        <v>15</v>
      </c>
      <c r="N16" s="11"/>
      <c r="O16" s="12"/>
    </row>
    <row r="17" spans="1:15">
      <c r="A17" s="9">
        <v>16</v>
      </c>
      <c r="B17" s="4"/>
      <c r="C17" s="6">
        <v>100</v>
      </c>
      <c r="D17" s="4"/>
      <c r="E17" s="9">
        <v>16</v>
      </c>
      <c r="F17" s="11"/>
      <c r="G17" s="12"/>
      <c r="I17" s="9">
        <v>16</v>
      </c>
      <c r="J17" s="4"/>
      <c r="K17" s="6">
        <v>1250</v>
      </c>
      <c r="L17" s="1"/>
      <c r="M17" s="9">
        <v>16</v>
      </c>
      <c r="N17" s="11"/>
      <c r="O17" s="12"/>
    </row>
    <row r="18" spans="1:15">
      <c r="A18" s="9">
        <v>17</v>
      </c>
      <c r="B18" s="4"/>
      <c r="C18" s="6">
        <v>720</v>
      </c>
      <c r="D18" s="4"/>
      <c r="E18" s="9">
        <v>17</v>
      </c>
      <c r="F18" s="4"/>
      <c r="G18" s="6">
        <v>440</v>
      </c>
      <c r="I18" s="9">
        <v>17</v>
      </c>
      <c r="J18" s="4"/>
      <c r="K18" s="6">
        <v>100</v>
      </c>
      <c r="L18" s="1"/>
      <c r="M18" s="9">
        <v>17</v>
      </c>
      <c r="N18" s="11"/>
      <c r="O18" s="12"/>
    </row>
    <row r="19" spans="1:15">
      <c r="A19" s="9">
        <v>18</v>
      </c>
      <c r="B19" s="4"/>
      <c r="C19" s="6">
        <v>50</v>
      </c>
      <c r="D19" s="4"/>
      <c r="E19" s="9">
        <v>18</v>
      </c>
      <c r="F19" s="4"/>
      <c r="G19" s="6">
        <v>100</v>
      </c>
      <c r="I19" s="9">
        <v>18</v>
      </c>
      <c r="J19" s="4"/>
      <c r="K19" s="6">
        <v>100</v>
      </c>
      <c r="L19" s="1"/>
      <c r="M19" s="9">
        <v>18</v>
      </c>
      <c r="N19" s="11"/>
      <c r="O19" s="12"/>
    </row>
    <row r="20" spans="1:15">
      <c r="A20" s="9">
        <v>19</v>
      </c>
      <c r="B20" s="4"/>
      <c r="C20" s="6">
        <v>100</v>
      </c>
      <c r="D20" s="4"/>
      <c r="E20" s="9">
        <v>19</v>
      </c>
      <c r="F20" s="4"/>
      <c r="G20" s="6">
        <v>100</v>
      </c>
      <c r="I20" s="9">
        <v>19</v>
      </c>
      <c r="J20" s="4"/>
      <c r="K20" s="6">
        <v>100</v>
      </c>
      <c r="L20" s="1"/>
      <c r="M20" s="9">
        <v>19</v>
      </c>
      <c r="N20" s="11"/>
      <c r="O20" s="12"/>
    </row>
    <row r="21" spans="1:15">
      <c r="A21" s="9">
        <v>20</v>
      </c>
      <c r="B21" s="4"/>
      <c r="C21" s="6">
        <v>50</v>
      </c>
      <c r="D21" s="4"/>
      <c r="E21" s="9">
        <v>20</v>
      </c>
      <c r="F21" s="4"/>
      <c r="G21" s="6">
        <v>100</v>
      </c>
      <c r="I21" s="9">
        <v>20</v>
      </c>
      <c r="J21" s="4"/>
      <c r="K21" s="6">
        <v>100</v>
      </c>
      <c r="L21" s="1"/>
      <c r="M21" s="9">
        <v>20</v>
      </c>
      <c r="N21" s="11"/>
      <c r="O21" s="12"/>
    </row>
    <row r="22" spans="1:15">
      <c r="A22" s="9">
        <v>21</v>
      </c>
      <c r="B22" s="11"/>
      <c r="C22" s="12"/>
      <c r="D22" s="4"/>
      <c r="E22" s="9">
        <v>21</v>
      </c>
      <c r="F22" s="11"/>
      <c r="G22" s="12"/>
      <c r="I22" s="9">
        <v>21</v>
      </c>
      <c r="J22" s="4"/>
      <c r="K22" s="6">
        <v>1000</v>
      </c>
      <c r="L22" s="1"/>
      <c r="M22" s="9">
        <v>21</v>
      </c>
      <c r="N22" s="11"/>
      <c r="O22" s="12"/>
    </row>
    <row r="23" spans="1:15">
      <c r="A23" s="9">
        <v>22</v>
      </c>
      <c r="B23" s="11"/>
      <c r="C23" s="12"/>
      <c r="D23" s="4"/>
      <c r="E23" s="9">
        <v>22</v>
      </c>
      <c r="F23" s="11"/>
      <c r="G23" s="12"/>
      <c r="I23" s="9">
        <v>22</v>
      </c>
      <c r="J23" s="4"/>
      <c r="K23" s="6">
        <v>1000</v>
      </c>
      <c r="L23" s="1"/>
      <c r="M23" s="9">
        <v>22</v>
      </c>
      <c r="N23" s="11"/>
      <c r="O23" s="12"/>
    </row>
    <row r="24" spans="1:15">
      <c r="A24" s="9">
        <v>23</v>
      </c>
      <c r="B24" s="11"/>
      <c r="C24" s="12"/>
      <c r="D24" s="4"/>
      <c r="E24" s="9">
        <v>23</v>
      </c>
      <c r="F24" s="4"/>
      <c r="G24" s="6">
        <v>600</v>
      </c>
      <c r="I24" s="9">
        <v>23</v>
      </c>
      <c r="J24" s="4"/>
      <c r="K24" s="6">
        <v>1000</v>
      </c>
      <c r="L24" s="1"/>
      <c r="M24" s="9">
        <v>23</v>
      </c>
      <c r="N24" s="11"/>
      <c r="O24" s="12"/>
    </row>
    <row r="25" spans="1:15" ht="15.75" thickBot="1">
      <c r="A25" s="10">
        <v>24</v>
      </c>
      <c r="B25" s="13"/>
      <c r="C25" s="14"/>
      <c r="D25" s="4"/>
      <c r="E25" s="10">
        <v>24</v>
      </c>
      <c r="F25" s="13"/>
      <c r="G25" s="14"/>
      <c r="I25" s="10">
        <v>24</v>
      </c>
      <c r="J25" s="7"/>
      <c r="K25" s="8">
        <v>200</v>
      </c>
      <c r="L25" s="1"/>
      <c r="M25" s="10">
        <v>24</v>
      </c>
      <c r="N25" s="13"/>
      <c r="O25" s="14"/>
    </row>
    <row r="26" spans="1:15" s="1" customFormat="1" ht="15.75" thickBot="1">
      <c r="A26" s="3"/>
      <c r="C26" s="171">
        <f>SUM(C2:C25)</f>
        <v>3660</v>
      </c>
      <c r="E26" s="3"/>
      <c r="G26" s="171">
        <f>SUM(G2:G25)</f>
        <v>3470</v>
      </c>
      <c r="I26" s="3"/>
      <c r="J26"/>
      <c r="K26" s="171">
        <f>SUM(K2:K25)</f>
        <v>7120</v>
      </c>
      <c r="L26"/>
      <c r="M26"/>
      <c r="N26"/>
      <c r="O26" s="171">
        <f>SUM(O2:O25)</f>
        <v>6350</v>
      </c>
    </row>
    <row r="27" spans="1:15" ht="15.75" thickBot="1"/>
    <row r="28" spans="1:15" ht="29.25" thickBot="1">
      <c r="A28" s="163"/>
      <c r="B28" s="164" t="s">
        <v>10</v>
      </c>
      <c r="C28" s="165" t="s">
        <v>6</v>
      </c>
      <c r="E28" s="163"/>
      <c r="F28" s="164" t="s">
        <v>11</v>
      </c>
      <c r="G28" s="165" t="s">
        <v>6</v>
      </c>
      <c r="I28" s="163"/>
      <c r="J28" s="164" t="s">
        <v>12</v>
      </c>
      <c r="K28" s="165" t="s">
        <v>6</v>
      </c>
      <c r="M28" s="163"/>
      <c r="N28" s="164" t="s">
        <v>13</v>
      </c>
      <c r="O28" s="165" t="s">
        <v>6</v>
      </c>
    </row>
    <row r="29" spans="1:15">
      <c r="A29" s="9">
        <v>1</v>
      </c>
      <c r="B29" s="11"/>
      <c r="C29" s="167"/>
      <c r="E29" s="9">
        <v>1</v>
      </c>
      <c r="F29" s="4"/>
      <c r="G29" s="5">
        <v>600</v>
      </c>
      <c r="I29" s="9">
        <v>1</v>
      </c>
      <c r="J29" s="11"/>
      <c r="K29" s="167"/>
      <c r="M29" s="9">
        <v>1</v>
      </c>
      <c r="N29" s="4"/>
      <c r="O29" s="5">
        <v>600</v>
      </c>
    </row>
    <row r="30" spans="1:15">
      <c r="A30" s="9">
        <v>2</v>
      </c>
      <c r="B30" s="4"/>
      <c r="C30" s="6">
        <v>120</v>
      </c>
      <c r="E30" s="9">
        <v>2</v>
      </c>
      <c r="F30" s="4"/>
      <c r="G30" s="6">
        <v>160</v>
      </c>
      <c r="I30" s="9">
        <v>2</v>
      </c>
      <c r="J30" s="4"/>
      <c r="K30" s="6">
        <v>400</v>
      </c>
      <c r="M30" s="9">
        <v>2</v>
      </c>
      <c r="N30" s="4"/>
      <c r="O30" s="6">
        <v>300</v>
      </c>
    </row>
    <row r="31" spans="1:15">
      <c r="A31" s="9">
        <v>3</v>
      </c>
      <c r="B31" s="4"/>
      <c r="C31" s="6">
        <v>120</v>
      </c>
      <c r="E31" s="9">
        <v>3</v>
      </c>
      <c r="F31" s="4"/>
      <c r="G31" s="6">
        <v>40</v>
      </c>
      <c r="I31" s="9">
        <v>3</v>
      </c>
      <c r="J31" s="4"/>
      <c r="K31" s="6">
        <v>120</v>
      </c>
      <c r="M31" s="9">
        <v>3</v>
      </c>
      <c r="N31" s="4"/>
      <c r="O31" s="6">
        <v>120</v>
      </c>
    </row>
    <row r="32" spans="1:15">
      <c r="A32" s="9">
        <v>4</v>
      </c>
      <c r="B32" s="4"/>
      <c r="C32" s="6">
        <v>120</v>
      </c>
      <c r="E32" s="9">
        <v>4</v>
      </c>
      <c r="F32" s="4"/>
      <c r="G32" s="6">
        <v>160</v>
      </c>
      <c r="I32" s="9">
        <v>4</v>
      </c>
      <c r="J32" s="4"/>
      <c r="K32" s="6">
        <v>120</v>
      </c>
      <c r="M32" s="9">
        <v>4</v>
      </c>
      <c r="N32" s="4"/>
      <c r="O32" s="6">
        <v>120</v>
      </c>
    </row>
    <row r="33" spans="1:15">
      <c r="A33" s="9">
        <v>5</v>
      </c>
      <c r="B33" s="16"/>
      <c r="C33" s="17">
        <v>400</v>
      </c>
      <c r="E33" s="9">
        <v>5</v>
      </c>
      <c r="F33" s="16"/>
      <c r="G33" s="17">
        <v>120</v>
      </c>
      <c r="I33" s="9">
        <v>5</v>
      </c>
      <c r="J33" s="16"/>
      <c r="K33" s="17">
        <v>120</v>
      </c>
      <c r="M33" s="9">
        <v>5</v>
      </c>
      <c r="N33" s="16"/>
      <c r="O33" s="17">
        <v>120</v>
      </c>
    </row>
    <row r="34" spans="1:15">
      <c r="A34" s="9">
        <v>6</v>
      </c>
      <c r="B34" s="11"/>
      <c r="C34" s="12"/>
      <c r="E34" s="9">
        <v>6</v>
      </c>
      <c r="F34" s="16"/>
      <c r="G34" s="17">
        <v>600</v>
      </c>
      <c r="I34" s="9">
        <v>6</v>
      </c>
      <c r="J34" s="11"/>
      <c r="K34" s="12"/>
      <c r="M34" s="9">
        <v>6</v>
      </c>
      <c r="N34" s="16"/>
      <c r="O34" s="17">
        <v>600</v>
      </c>
    </row>
    <row r="35" spans="1:15">
      <c r="A35" s="9">
        <v>7</v>
      </c>
      <c r="B35" s="16"/>
      <c r="C35" s="17">
        <v>120</v>
      </c>
      <c r="E35" s="9">
        <v>7</v>
      </c>
      <c r="F35" s="16"/>
      <c r="G35" s="17">
        <v>600</v>
      </c>
      <c r="I35" s="9">
        <v>7</v>
      </c>
      <c r="J35" s="11"/>
      <c r="K35" s="12"/>
      <c r="M35" s="9">
        <v>7</v>
      </c>
      <c r="N35" s="16"/>
      <c r="O35" s="17">
        <v>600</v>
      </c>
    </row>
    <row r="36" spans="1:15">
      <c r="A36" s="9">
        <v>8</v>
      </c>
      <c r="B36" s="16"/>
      <c r="C36" s="17">
        <v>120</v>
      </c>
      <c r="E36" s="9">
        <v>8</v>
      </c>
      <c r="F36" s="16"/>
      <c r="G36" s="17">
        <v>160</v>
      </c>
      <c r="I36" s="9">
        <v>8</v>
      </c>
      <c r="J36" s="16"/>
      <c r="K36" s="17">
        <v>400</v>
      </c>
      <c r="M36" s="9">
        <v>8</v>
      </c>
      <c r="N36" s="16"/>
      <c r="O36" s="17">
        <v>300</v>
      </c>
    </row>
    <row r="37" spans="1:15">
      <c r="A37" s="9">
        <v>9</v>
      </c>
      <c r="B37" s="16"/>
      <c r="C37" s="17">
        <v>120</v>
      </c>
      <c r="E37" s="9">
        <v>9</v>
      </c>
      <c r="F37" s="16"/>
      <c r="G37" s="17">
        <v>40</v>
      </c>
      <c r="I37" s="9">
        <v>9</v>
      </c>
      <c r="J37" s="16"/>
      <c r="K37" s="17">
        <v>120</v>
      </c>
      <c r="M37" s="9">
        <v>9</v>
      </c>
      <c r="N37" s="16"/>
      <c r="O37" s="17">
        <v>120</v>
      </c>
    </row>
    <row r="38" spans="1:15">
      <c r="A38" s="9">
        <v>10</v>
      </c>
      <c r="B38" s="16"/>
      <c r="C38" s="17">
        <v>400</v>
      </c>
      <c r="E38" s="9">
        <v>10</v>
      </c>
      <c r="F38" s="16"/>
      <c r="G38" s="17">
        <v>160</v>
      </c>
      <c r="I38" s="9">
        <v>10</v>
      </c>
      <c r="J38" s="16"/>
      <c r="K38" s="17">
        <v>120</v>
      </c>
      <c r="M38" s="9">
        <v>10</v>
      </c>
      <c r="N38" s="16"/>
      <c r="O38" s="17">
        <v>120</v>
      </c>
    </row>
    <row r="39" spans="1:15">
      <c r="A39" s="9">
        <v>11</v>
      </c>
      <c r="B39" s="11"/>
      <c r="C39" s="12"/>
      <c r="E39" s="9">
        <v>11</v>
      </c>
      <c r="F39" s="16"/>
      <c r="G39" s="17">
        <v>120</v>
      </c>
      <c r="I39" s="9">
        <v>11</v>
      </c>
      <c r="J39" s="16"/>
      <c r="K39" s="17">
        <v>120</v>
      </c>
      <c r="M39" s="9">
        <v>11</v>
      </c>
      <c r="N39" s="16"/>
      <c r="O39" s="17">
        <v>120</v>
      </c>
    </row>
    <row r="40" spans="1:15">
      <c r="A40" s="9">
        <v>12</v>
      </c>
      <c r="B40" s="11"/>
      <c r="C40" s="12"/>
      <c r="E40" s="9">
        <v>12</v>
      </c>
      <c r="F40" s="16"/>
      <c r="G40" s="17">
        <v>600</v>
      </c>
      <c r="I40" s="9">
        <v>12</v>
      </c>
      <c r="J40" s="11"/>
      <c r="K40" s="12"/>
      <c r="M40" s="9">
        <v>12</v>
      </c>
      <c r="N40" s="16"/>
      <c r="O40" s="17">
        <v>600</v>
      </c>
    </row>
    <row r="41" spans="1:15">
      <c r="A41" s="9">
        <v>13</v>
      </c>
      <c r="B41" s="11"/>
      <c r="C41" s="12"/>
      <c r="E41" s="9">
        <v>13</v>
      </c>
      <c r="F41" s="16"/>
      <c r="G41" s="17">
        <v>600</v>
      </c>
      <c r="I41" s="9">
        <v>13</v>
      </c>
      <c r="J41" s="11"/>
      <c r="K41" s="12"/>
      <c r="M41" s="9">
        <v>13</v>
      </c>
      <c r="N41" s="16"/>
      <c r="O41" s="17">
        <v>600</v>
      </c>
    </row>
    <row r="42" spans="1:15">
      <c r="A42" s="9">
        <v>14</v>
      </c>
      <c r="B42" s="11"/>
      <c r="C42" s="12"/>
      <c r="E42" s="9">
        <v>14</v>
      </c>
      <c r="F42" s="16"/>
      <c r="G42" s="17">
        <v>160</v>
      </c>
      <c r="I42" s="9">
        <v>14</v>
      </c>
      <c r="J42" s="16"/>
      <c r="K42" s="17">
        <v>400</v>
      </c>
      <c r="M42" s="9">
        <v>14</v>
      </c>
      <c r="N42" s="16"/>
      <c r="O42" s="17">
        <v>300</v>
      </c>
    </row>
    <row r="43" spans="1:15">
      <c r="A43" s="9">
        <v>15</v>
      </c>
      <c r="B43" s="11"/>
      <c r="C43" s="12"/>
      <c r="E43" s="9">
        <v>15</v>
      </c>
      <c r="F43" s="16"/>
      <c r="G43" s="17">
        <v>40</v>
      </c>
      <c r="I43" s="9">
        <v>15</v>
      </c>
      <c r="J43" s="16"/>
      <c r="K43" s="17">
        <v>120</v>
      </c>
      <c r="M43" s="9">
        <v>15</v>
      </c>
      <c r="N43" s="16"/>
      <c r="O43" s="17">
        <v>120</v>
      </c>
    </row>
    <row r="44" spans="1:15">
      <c r="A44" s="9">
        <v>16</v>
      </c>
      <c r="B44" s="16"/>
      <c r="C44" s="17">
        <v>120</v>
      </c>
      <c r="E44" s="9">
        <v>16</v>
      </c>
      <c r="F44" s="16"/>
      <c r="G44" s="17">
        <v>160</v>
      </c>
      <c r="I44" s="9">
        <v>16</v>
      </c>
      <c r="J44" s="16"/>
      <c r="K44" s="17">
        <v>120</v>
      </c>
      <c r="M44" s="9">
        <v>16</v>
      </c>
      <c r="N44" s="16"/>
      <c r="O44" s="17">
        <v>120</v>
      </c>
    </row>
    <row r="45" spans="1:15">
      <c r="A45" s="9">
        <v>17</v>
      </c>
      <c r="B45" s="16"/>
      <c r="C45" s="17">
        <v>120</v>
      </c>
      <c r="E45" s="9">
        <v>17</v>
      </c>
      <c r="F45" s="16"/>
      <c r="G45" s="17">
        <v>120</v>
      </c>
      <c r="I45" s="9">
        <v>17</v>
      </c>
      <c r="J45" s="16"/>
      <c r="K45" s="17">
        <v>120</v>
      </c>
      <c r="M45" s="9">
        <v>17</v>
      </c>
      <c r="N45" s="16"/>
      <c r="O45" s="17">
        <v>120</v>
      </c>
    </row>
    <row r="46" spans="1:15" ht="15.75" thickBot="1">
      <c r="A46" s="9">
        <v>18</v>
      </c>
      <c r="B46" s="16"/>
      <c r="C46" s="17">
        <v>120</v>
      </c>
      <c r="E46" s="9">
        <v>18</v>
      </c>
      <c r="F46" s="16"/>
      <c r="G46" s="17">
        <v>600</v>
      </c>
      <c r="I46" s="10">
        <v>18</v>
      </c>
      <c r="J46" s="13"/>
      <c r="K46" s="14"/>
      <c r="M46" s="10">
        <v>18</v>
      </c>
      <c r="N46" s="18"/>
      <c r="O46" s="19">
        <v>600</v>
      </c>
    </row>
    <row r="47" spans="1:15" ht="15.75" thickBot="1">
      <c r="A47" s="9">
        <v>19</v>
      </c>
      <c r="B47" s="16"/>
      <c r="C47" s="17">
        <v>400</v>
      </c>
      <c r="E47" s="9">
        <v>19</v>
      </c>
      <c r="F47" s="16"/>
      <c r="G47" s="17">
        <v>600</v>
      </c>
      <c r="I47" s="3"/>
      <c r="J47" s="169"/>
      <c r="K47" s="172">
        <f>SUM(K29:K46)</f>
        <v>2280</v>
      </c>
      <c r="L47" s="169"/>
      <c r="M47" s="170"/>
      <c r="N47" s="169"/>
      <c r="O47" s="172">
        <f>SUM(O29:O46)</f>
        <v>5580</v>
      </c>
    </row>
    <row r="48" spans="1:15" ht="15.75" thickBot="1">
      <c r="A48" s="9">
        <v>20</v>
      </c>
      <c r="B48" s="11"/>
      <c r="C48" s="12"/>
      <c r="E48" s="10">
        <v>20</v>
      </c>
      <c r="F48" s="13"/>
      <c r="G48" s="14"/>
      <c r="J48" s="169"/>
      <c r="K48" s="169"/>
      <c r="L48" s="169"/>
      <c r="M48" s="169"/>
      <c r="N48" s="169"/>
      <c r="O48" s="169"/>
    </row>
    <row r="49" spans="1:15" ht="15.75" thickBot="1">
      <c r="A49" s="9">
        <v>21</v>
      </c>
      <c r="B49" s="16"/>
      <c r="C49" s="17">
        <v>150</v>
      </c>
      <c r="E49" s="3"/>
      <c r="F49" s="169"/>
      <c r="G49" s="172">
        <f>SUM(G29:G48)</f>
        <v>5640</v>
      </c>
      <c r="H49" s="169"/>
      <c r="I49" s="169"/>
      <c r="J49" s="169"/>
      <c r="K49" s="169"/>
      <c r="L49" s="169"/>
      <c r="M49" s="169"/>
      <c r="N49" s="169"/>
      <c r="O49" s="169"/>
    </row>
    <row r="50" spans="1:15">
      <c r="A50" s="9">
        <v>22</v>
      </c>
      <c r="B50" s="16"/>
      <c r="C50" s="17">
        <v>400</v>
      </c>
      <c r="F50" s="169"/>
      <c r="G50" s="169"/>
      <c r="H50" s="169"/>
      <c r="I50" s="169"/>
      <c r="J50" s="169"/>
      <c r="K50" s="169"/>
      <c r="L50" s="169"/>
      <c r="M50" s="169"/>
      <c r="N50" s="169"/>
      <c r="O50" s="169"/>
    </row>
    <row r="51" spans="1:15">
      <c r="A51" s="9">
        <v>23</v>
      </c>
      <c r="B51" s="16"/>
      <c r="C51" s="17">
        <v>400</v>
      </c>
      <c r="F51" s="169"/>
      <c r="G51" s="169"/>
      <c r="H51" s="169"/>
      <c r="I51" s="169"/>
      <c r="J51" s="169"/>
      <c r="K51" s="169"/>
      <c r="L51" s="169"/>
      <c r="M51" s="169"/>
      <c r="N51" s="169"/>
      <c r="O51" s="169"/>
    </row>
    <row r="52" spans="1:15" s="1" customFormat="1">
      <c r="A52" s="9">
        <v>24</v>
      </c>
      <c r="B52" s="11"/>
      <c r="C52" s="12"/>
      <c r="E52"/>
      <c r="F52" s="169"/>
      <c r="G52" s="169"/>
      <c r="H52" s="169"/>
      <c r="I52" s="169"/>
      <c r="J52" s="169"/>
      <c r="K52" s="169"/>
      <c r="L52" s="169"/>
      <c r="M52" s="169"/>
      <c r="N52" s="169"/>
      <c r="O52" s="169"/>
    </row>
    <row r="53" spans="1:15" s="1" customFormat="1">
      <c r="A53" s="9">
        <v>25</v>
      </c>
      <c r="B53" s="11"/>
      <c r="C53" s="12"/>
      <c r="E53"/>
      <c r="F53" s="169"/>
      <c r="G53" s="169"/>
      <c r="H53" s="169"/>
      <c r="I53" s="169"/>
      <c r="J53" s="169"/>
      <c r="K53" s="169"/>
      <c r="L53" s="169"/>
      <c r="M53" s="169"/>
      <c r="N53" s="169"/>
      <c r="O53" s="169"/>
    </row>
    <row r="54" spans="1:15" s="1" customFormat="1">
      <c r="A54" s="9">
        <v>26</v>
      </c>
      <c r="B54" s="11"/>
      <c r="C54" s="12"/>
      <c r="E54"/>
      <c r="F54" s="169"/>
      <c r="G54" s="169"/>
      <c r="H54" s="169"/>
      <c r="I54" s="169"/>
      <c r="J54" s="169"/>
      <c r="K54" s="169"/>
      <c r="L54" s="169"/>
      <c r="M54" s="169"/>
      <c r="N54" s="169"/>
      <c r="O54" s="169"/>
    </row>
    <row r="55" spans="1:15" s="1" customFormat="1">
      <c r="A55" s="9">
        <v>27</v>
      </c>
      <c r="B55" s="11"/>
      <c r="C55" s="12"/>
      <c r="E55"/>
      <c r="F55" s="169"/>
      <c r="G55" s="169"/>
      <c r="H55" s="169"/>
      <c r="I55" s="169"/>
      <c r="J55" s="169"/>
      <c r="K55" s="169"/>
      <c r="L55" s="169"/>
      <c r="M55" s="169"/>
      <c r="N55" s="169"/>
      <c r="O55" s="169"/>
    </row>
    <row r="56" spans="1:15" ht="15.75" thickBot="1">
      <c r="A56" s="10">
        <v>28</v>
      </c>
      <c r="B56" s="13"/>
      <c r="C56" s="14"/>
      <c r="F56" s="169"/>
      <c r="G56" s="169"/>
      <c r="H56" s="169"/>
      <c r="I56" s="169"/>
      <c r="J56" s="169"/>
      <c r="K56" s="169"/>
      <c r="L56" s="169"/>
      <c r="M56" s="169"/>
      <c r="N56" s="169"/>
      <c r="O56" s="169"/>
    </row>
    <row r="57" spans="1:15" ht="15.75" thickBot="1">
      <c r="B57" s="1"/>
      <c r="C57" s="171">
        <f>SUM(C29:C56)</f>
        <v>3230</v>
      </c>
    </row>
    <row r="58" spans="1:15" ht="15.75" thickBot="1">
      <c r="E58" s="4"/>
      <c r="I58" s="4"/>
      <c r="M58" s="4"/>
    </row>
    <row r="59" spans="1:15" s="1" customFormat="1" ht="29.25" thickBot="1">
      <c r="A59" s="163"/>
      <c r="B59" s="164" t="s">
        <v>77</v>
      </c>
      <c r="C59" s="165" t="s">
        <v>6</v>
      </c>
      <c r="D59" s="15"/>
      <c r="E59" s="163"/>
      <c r="F59" s="164" t="s">
        <v>78</v>
      </c>
      <c r="G59" s="165" t="s">
        <v>6</v>
      </c>
      <c r="H59" s="15"/>
      <c r="I59" s="163"/>
      <c r="J59" s="164" t="s">
        <v>79</v>
      </c>
      <c r="K59" s="165" t="s">
        <v>6</v>
      </c>
      <c r="L59" s="15"/>
      <c r="M59" s="163"/>
      <c r="N59" s="164" t="s">
        <v>80</v>
      </c>
      <c r="O59" s="165" t="s">
        <v>6</v>
      </c>
    </row>
    <row r="60" spans="1:15" s="1" customFormat="1">
      <c r="A60" s="9">
        <v>1</v>
      </c>
      <c r="B60" s="4"/>
      <c r="C60" s="5">
        <v>320</v>
      </c>
      <c r="D60" s="4"/>
      <c r="E60" s="9">
        <v>1</v>
      </c>
      <c r="F60" s="4"/>
      <c r="G60" s="5">
        <v>600</v>
      </c>
      <c r="I60" s="9">
        <v>1</v>
      </c>
      <c r="J60" s="4"/>
      <c r="K60" s="5">
        <v>600</v>
      </c>
      <c r="M60" s="9">
        <v>1</v>
      </c>
      <c r="N60" s="4"/>
      <c r="O60" s="5">
        <v>600</v>
      </c>
    </row>
    <row r="61" spans="1:15" s="1" customFormat="1">
      <c r="A61" s="9">
        <v>2</v>
      </c>
      <c r="B61" s="4"/>
      <c r="C61" s="6">
        <v>450</v>
      </c>
      <c r="D61" s="4"/>
      <c r="E61" s="9">
        <v>2</v>
      </c>
      <c r="F61" s="4"/>
      <c r="G61" s="6">
        <v>700</v>
      </c>
      <c r="I61" s="9">
        <v>2</v>
      </c>
      <c r="J61" s="4"/>
      <c r="K61" s="6">
        <v>100</v>
      </c>
      <c r="M61" s="9">
        <v>2</v>
      </c>
      <c r="N61" s="4"/>
      <c r="O61" s="5">
        <v>160</v>
      </c>
    </row>
    <row r="62" spans="1:15" s="1" customFormat="1">
      <c r="A62" s="9">
        <v>3</v>
      </c>
      <c r="B62" s="4"/>
      <c r="C62" s="6">
        <v>320</v>
      </c>
      <c r="D62" s="4"/>
      <c r="E62" s="9">
        <v>3</v>
      </c>
      <c r="F62" s="4"/>
      <c r="G62" s="6">
        <v>100</v>
      </c>
      <c r="I62" s="9">
        <v>3</v>
      </c>
      <c r="J62" s="4"/>
      <c r="K62" s="6">
        <v>100</v>
      </c>
      <c r="M62" s="9">
        <v>3</v>
      </c>
      <c r="N62" s="4"/>
      <c r="O62" s="5">
        <v>40</v>
      </c>
    </row>
    <row r="63" spans="1:15" s="1" customFormat="1">
      <c r="A63" s="9">
        <v>4</v>
      </c>
      <c r="B63" s="4"/>
      <c r="C63" s="6">
        <v>100</v>
      </c>
      <c r="D63" s="4"/>
      <c r="E63" s="9">
        <v>4</v>
      </c>
      <c r="F63" s="4"/>
      <c r="G63" s="6">
        <v>100</v>
      </c>
      <c r="I63" s="9">
        <v>4</v>
      </c>
      <c r="J63" s="4"/>
      <c r="K63" s="6">
        <v>100</v>
      </c>
      <c r="M63" s="9">
        <v>4</v>
      </c>
      <c r="N63" s="4"/>
      <c r="O63" s="5">
        <v>160</v>
      </c>
    </row>
    <row r="64" spans="1:15" s="1" customFormat="1">
      <c r="A64" s="9">
        <v>5</v>
      </c>
      <c r="B64" s="4"/>
      <c r="C64" s="6">
        <v>100</v>
      </c>
      <c r="D64" s="4"/>
      <c r="E64" s="9">
        <v>5</v>
      </c>
      <c r="F64" s="4"/>
      <c r="G64" s="6">
        <v>100</v>
      </c>
      <c r="I64" s="9">
        <v>5</v>
      </c>
      <c r="J64" s="11"/>
      <c r="K64" s="12"/>
      <c r="M64" s="9">
        <v>5</v>
      </c>
      <c r="N64" s="11"/>
      <c r="O64" s="12"/>
    </row>
    <row r="65" spans="1:15" s="1" customFormat="1">
      <c r="A65" s="9">
        <v>6</v>
      </c>
      <c r="B65" s="16"/>
      <c r="C65" s="17">
        <v>100</v>
      </c>
      <c r="D65" s="4"/>
      <c r="E65" s="9">
        <v>6</v>
      </c>
      <c r="F65" s="11"/>
      <c r="G65" s="12"/>
      <c r="I65" s="9">
        <v>6</v>
      </c>
      <c r="J65" s="11"/>
      <c r="K65" s="12"/>
      <c r="M65" s="9">
        <v>6</v>
      </c>
      <c r="N65" s="4"/>
      <c r="O65" s="6">
        <v>600</v>
      </c>
    </row>
    <row r="66" spans="1:15" s="1" customFormat="1">
      <c r="A66" s="9">
        <v>7</v>
      </c>
      <c r="B66" s="11"/>
      <c r="C66" s="12"/>
      <c r="D66" s="4"/>
      <c r="E66" s="9">
        <v>7</v>
      </c>
      <c r="F66" s="11"/>
      <c r="G66" s="12"/>
      <c r="I66" s="9">
        <v>7</v>
      </c>
      <c r="J66" s="16"/>
      <c r="K66" s="17">
        <v>700</v>
      </c>
      <c r="M66" s="9">
        <v>7</v>
      </c>
      <c r="N66" s="4"/>
      <c r="O66" s="6">
        <v>160</v>
      </c>
    </row>
    <row r="67" spans="1:15" s="1" customFormat="1">
      <c r="A67" s="9">
        <v>8</v>
      </c>
      <c r="B67" s="16"/>
      <c r="C67" s="17">
        <v>320</v>
      </c>
      <c r="D67" s="4"/>
      <c r="E67" s="9">
        <v>8</v>
      </c>
      <c r="F67" s="11"/>
      <c r="G67" s="12"/>
      <c r="I67" s="9">
        <v>8</v>
      </c>
      <c r="J67" s="11"/>
      <c r="K67" s="12"/>
      <c r="M67" s="9">
        <v>8</v>
      </c>
      <c r="N67" s="4"/>
      <c r="O67" s="6">
        <v>40</v>
      </c>
    </row>
    <row r="68" spans="1:15" s="1" customFormat="1">
      <c r="A68" s="9">
        <v>9</v>
      </c>
      <c r="B68" s="4"/>
      <c r="C68" s="6">
        <v>450</v>
      </c>
      <c r="D68" s="4"/>
      <c r="E68" s="9">
        <v>9</v>
      </c>
      <c r="F68" s="11"/>
      <c r="G68" s="12"/>
      <c r="I68" s="9">
        <v>9</v>
      </c>
      <c r="J68" s="4"/>
      <c r="K68" s="6">
        <v>600</v>
      </c>
      <c r="M68" s="9">
        <v>9</v>
      </c>
      <c r="N68" s="16"/>
      <c r="O68" s="17">
        <v>160</v>
      </c>
    </row>
    <row r="69" spans="1:15" s="1" customFormat="1">
      <c r="A69" s="9">
        <v>10</v>
      </c>
      <c r="B69" s="4"/>
      <c r="C69" s="6">
        <v>320</v>
      </c>
      <c r="D69" s="4"/>
      <c r="E69" s="9">
        <v>10</v>
      </c>
      <c r="F69" s="4"/>
      <c r="G69" s="6">
        <v>600</v>
      </c>
      <c r="I69" s="9">
        <v>10</v>
      </c>
      <c r="J69" s="4"/>
      <c r="K69" s="6">
        <v>100</v>
      </c>
      <c r="M69" s="9">
        <v>10</v>
      </c>
      <c r="N69" s="11"/>
      <c r="O69" s="12"/>
    </row>
    <row r="70" spans="1:15" s="1" customFormat="1">
      <c r="A70" s="9">
        <v>11</v>
      </c>
      <c r="B70" s="4"/>
      <c r="C70" s="6">
        <v>100</v>
      </c>
      <c r="D70" s="4"/>
      <c r="E70" s="9">
        <v>11</v>
      </c>
      <c r="F70" s="4"/>
      <c r="G70" s="6">
        <v>100</v>
      </c>
      <c r="I70" s="9">
        <v>11</v>
      </c>
      <c r="J70" s="4"/>
      <c r="K70" s="6">
        <v>100</v>
      </c>
      <c r="M70" s="9">
        <v>11</v>
      </c>
      <c r="N70" s="16"/>
      <c r="O70" s="17">
        <v>600</v>
      </c>
    </row>
    <row r="71" spans="1:15" s="1" customFormat="1">
      <c r="A71" s="9">
        <v>12</v>
      </c>
      <c r="B71" s="4"/>
      <c r="C71" s="6">
        <v>100</v>
      </c>
      <c r="D71" s="4"/>
      <c r="E71" s="9">
        <v>12</v>
      </c>
      <c r="F71" s="4"/>
      <c r="G71" s="6">
        <v>100</v>
      </c>
      <c r="I71" s="9">
        <v>12</v>
      </c>
      <c r="J71" s="4"/>
      <c r="K71" s="6">
        <v>100</v>
      </c>
      <c r="M71" s="9">
        <v>12</v>
      </c>
      <c r="N71" s="16"/>
      <c r="O71" s="17">
        <v>160</v>
      </c>
    </row>
    <row r="72" spans="1:15" s="1" customFormat="1">
      <c r="A72" s="9">
        <v>13</v>
      </c>
      <c r="B72" s="4"/>
      <c r="C72" s="6">
        <v>100</v>
      </c>
      <c r="D72" s="4"/>
      <c r="E72" s="9">
        <v>13</v>
      </c>
      <c r="F72" s="16"/>
      <c r="G72" s="17">
        <v>100</v>
      </c>
      <c r="I72" s="9">
        <v>13</v>
      </c>
      <c r="J72" s="11"/>
      <c r="K72" s="12"/>
      <c r="M72" s="9">
        <v>13</v>
      </c>
      <c r="N72" s="16"/>
      <c r="O72" s="17">
        <v>40</v>
      </c>
    </row>
    <row r="73" spans="1:15" s="1" customFormat="1">
      <c r="A73" s="9">
        <v>14</v>
      </c>
      <c r="B73" s="11"/>
      <c r="C73" s="12"/>
      <c r="D73" s="4"/>
      <c r="E73" s="9">
        <v>14</v>
      </c>
      <c r="F73" s="11"/>
      <c r="G73" s="12"/>
      <c r="I73" s="9">
        <v>14</v>
      </c>
      <c r="J73" s="11"/>
      <c r="K73" s="12"/>
      <c r="M73" s="9">
        <v>14</v>
      </c>
      <c r="N73" s="16"/>
      <c r="O73" s="17">
        <v>160</v>
      </c>
    </row>
    <row r="74" spans="1:15" s="1" customFormat="1">
      <c r="A74" s="9">
        <v>15</v>
      </c>
      <c r="B74" s="4"/>
      <c r="C74" s="6">
        <v>320</v>
      </c>
      <c r="D74" s="4"/>
      <c r="E74" s="9">
        <v>15</v>
      </c>
      <c r="F74" s="11"/>
      <c r="G74" s="12"/>
      <c r="I74" s="9">
        <v>15</v>
      </c>
      <c r="J74" s="4"/>
      <c r="K74" s="6">
        <v>700</v>
      </c>
      <c r="M74" s="9">
        <v>15</v>
      </c>
      <c r="N74" s="11"/>
      <c r="O74" s="12"/>
    </row>
    <row r="75" spans="1:15" s="1" customFormat="1">
      <c r="A75" s="9">
        <v>16</v>
      </c>
      <c r="B75" s="4"/>
      <c r="C75" s="6">
        <v>450</v>
      </c>
      <c r="D75" s="4"/>
      <c r="E75" s="9">
        <v>16</v>
      </c>
      <c r="F75" s="16"/>
      <c r="G75" s="17">
        <v>700</v>
      </c>
      <c r="I75" s="9">
        <v>16</v>
      </c>
      <c r="J75" s="11"/>
      <c r="K75" s="12"/>
      <c r="M75" s="9">
        <v>16</v>
      </c>
      <c r="N75" s="16"/>
      <c r="O75" s="17">
        <v>800</v>
      </c>
    </row>
    <row r="76" spans="1:15" s="1" customFormat="1">
      <c r="A76" s="9">
        <v>17</v>
      </c>
      <c r="B76" s="4"/>
      <c r="C76" s="6">
        <v>320</v>
      </c>
      <c r="D76" s="4"/>
      <c r="E76" s="9">
        <v>17</v>
      </c>
      <c r="F76" s="16"/>
      <c r="G76" s="17">
        <v>400</v>
      </c>
      <c r="I76" s="9">
        <v>17</v>
      </c>
      <c r="J76" s="4"/>
      <c r="K76" s="6">
        <v>600</v>
      </c>
      <c r="M76" s="9">
        <v>17</v>
      </c>
      <c r="N76" s="16"/>
      <c r="O76" s="17">
        <v>400</v>
      </c>
    </row>
    <row r="77" spans="1:15" s="1" customFormat="1">
      <c r="A77" s="9">
        <v>18</v>
      </c>
      <c r="B77" s="4"/>
      <c r="C77" s="6">
        <v>100</v>
      </c>
      <c r="D77" s="4"/>
      <c r="E77" s="9">
        <v>18</v>
      </c>
      <c r="F77" s="4"/>
      <c r="G77" s="6">
        <v>100</v>
      </c>
      <c r="I77" s="9">
        <v>18</v>
      </c>
      <c r="J77" s="4"/>
      <c r="K77" s="6">
        <v>100</v>
      </c>
      <c r="M77" s="9">
        <v>18</v>
      </c>
      <c r="N77" s="16"/>
      <c r="O77" s="17">
        <v>150</v>
      </c>
    </row>
    <row r="78" spans="1:15" s="1" customFormat="1">
      <c r="A78" s="9">
        <v>19</v>
      </c>
      <c r="B78" s="4"/>
      <c r="C78" s="6">
        <v>100</v>
      </c>
      <c r="D78" s="4"/>
      <c r="E78" s="9">
        <v>19</v>
      </c>
      <c r="F78" s="4"/>
      <c r="G78" s="6">
        <v>100</v>
      </c>
      <c r="I78" s="9">
        <v>19</v>
      </c>
      <c r="J78" s="4"/>
      <c r="K78" s="6">
        <v>100</v>
      </c>
      <c r="M78" s="9">
        <v>19</v>
      </c>
      <c r="N78" s="16"/>
      <c r="O78" s="17">
        <v>150</v>
      </c>
    </row>
    <row r="79" spans="1:15" s="1" customFormat="1">
      <c r="A79" s="9">
        <v>20</v>
      </c>
      <c r="B79" s="4"/>
      <c r="C79" s="6">
        <v>100</v>
      </c>
      <c r="D79" s="4"/>
      <c r="E79" s="9">
        <v>20</v>
      </c>
      <c r="F79" s="4"/>
      <c r="G79" s="6">
        <v>100</v>
      </c>
      <c r="I79" s="9">
        <v>20</v>
      </c>
      <c r="J79" s="4"/>
      <c r="K79" s="6">
        <v>100</v>
      </c>
      <c r="M79" s="9">
        <v>20</v>
      </c>
      <c r="N79" s="16"/>
      <c r="O79" s="17">
        <v>150</v>
      </c>
    </row>
    <row r="80" spans="1:15" s="1" customFormat="1">
      <c r="A80" s="9">
        <v>21</v>
      </c>
      <c r="B80" s="11"/>
      <c r="C80" s="12"/>
      <c r="D80" s="4"/>
      <c r="E80" s="9">
        <v>21</v>
      </c>
      <c r="F80" s="11"/>
      <c r="G80" s="12"/>
      <c r="I80" s="9">
        <v>21</v>
      </c>
      <c r="J80" s="11"/>
      <c r="K80" s="12"/>
      <c r="M80" s="9">
        <v>21</v>
      </c>
      <c r="N80" s="16"/>
      <c r="O80" s="17">
        <v>200</v>
      </c>
    </row>
    <row r="81" spans="1:15" s="1" customFormat="1">
      <c r="A81" s="9">
        <v>22</v>
      </c>
      <c r="B81" s="11"/>
      <c r="C81" s="12"/>
      <c r="D81" s="4"/>
      <c r="E81" s="9">
        <v>22</v>
      </c>
      <c r="F81" s="11"/>
      <c r="G81" s="12"/>
      <c r="I81" s="9">
        <v>22</v>
      </c>
      <c r="J81" s="11"/>
      <c r="K81" s="12"/>
      <c r="M81" s="9">
        <v>22</v>
      </c>
      <c r="N81" s="16"/>
      <c r="O81" s="17">
        <v>600</v>
      </c>
    </row>
    <row r="82" spans="1:15" s="1" customFormat="1">
      <c r="A82" s="9">
        <v>23</v>
      </c>
      <c r="B82" s="11"/>
      <c r="C82" s="12"/>
      <c r="D82" s="4"/>
      <c r="E82" s="9">
        <v>23</v>
      </c>
      <c r="F82" s="4"/>
      <c r="G82" s="6">
        <v>700</v>
      </c>
      <c r="I82" s="9">
        <v>23</v>
      </c>
      <c r="J82" s="4"/>
      <c r="K82" s="6">
        <v>700</v>
      </c>
      <c r="M82" s="9">
        <v>23</v>
      </c>
      <c r="N82" s="16"/>
      <c r="O82" s="17">
        <v>250</v>
      </c>
    </row>
    <row r="83" spans="1:15" s="1" customFormat="1" ht="15.75" thickBot="1">
      <c r="A83" s="10">
        <v>24</v>
      </c>
      <c r="B83" s="13"/>
      <c r="C83" s="14"/>
      <c r="D83" s="4"/>
      <c r="E83" s="10">
        <v>24</v>
      </c>
      <c r="F83" s="13"/>
      <c r="G83" s="14"/>
      <c r="I83" s="10">
        <v>24</v>
      </c>
      <c r="J83" s="13"/>
      <c r="K83" s="14"/>
      <c r="M83" s="9">
        <v>24</v>
      </c>
      <c r="N83" s="16"/>
      <c r="O83" s="17">
        <v>200</v>
      </c>
    </row>
    <row r="84" spans="1:15" s="1" customFormat="1" ht="15.75" thickBot="1">
      <c r="A84" s="3"/>
      <c r="C84" s="171">
        <f>SUM(C60:C83)</f>
        <v>4170</v>
      </c>
      <c r="E84" s="3"/>
      <c r="G84" s="171">
        <f>SUM(G60:G83)</f>
        <v>4600</v>
      </c>
      <c r="I84" s="3"/>
      <c r="K84" s="171">
        <f>SUM(K60:K83)</f>
        <v>4800</v>
      </c>
      <c r="M84" s="9">
        <v>25</v>
      </c>
      <c r="N84" s="16"/>
      <c r="O84" s="17">
        <v>50</v>
      </c>
    </row>
    <row r="85" spans="1:15">
      <c r="M85" s="9">
        <v>26</v>
      </c>
      <c r="N85" s="16"/>
      <c r="O85" s="17">
        <v>200</v>
      </c>
    </row>
    <row r="86" spans="1:15">
      <c r="M86" s="9">
        <v>27</v>
      </c>
      <c r="N86" s="11"/>
      <c r="O86" s="12"/>
    </row>
    <row r="87" spans="1:15" ht="15.75" thickBot="1">
      <c r="M87" s="10">
        <v>28</v>
      </c>
      <c r="N87" s="13"/>
      <c r="O87" s="14"/>
    </row>
    <row r="88" spans="1:15" ht="15.75" thickBot="1">
      <c r="M88" s="1"/>
      <c r="N88" s="1"/>
      <c r="O88" s="173">
        <f>SUM(O60:O87)</f>
        <v>6030</v>
      </c>
    </row>
    <row r="89" spans="1:15" ht="15.75" thickBot="1"/>
    <row r="90" spans="1:15" s="1" customFormat="1" ht="29.25" thickBot="1">
      <c r="A90" s="163"/>
      <c r="B90" s="164" t="s">
        <v>81</v>
      </c>
      <c r="C90" s="165" t="s">
        <v>6</v>
      </c>
      <c r="D90" s="15"/>
      <c r="E90" s="163"/>
      <c r="F90" s="164" t="s">
        <v>82</v>
      </c>
      <c r="G90" s="165" t="s">
        <v>83</v>
      </c>
      <c r="H90" s="15"/>
      <c r="I90" s="163"/>
      <c r="J90" s="164" t="s">
        <v>84</v>
      </c>
      <c r="K90" s="165" t="s">
        <v>6</v>
      </c>
      <c r="L90" s="15"/>
      <c r="M90" s="163"/>
      <c r="N90" s="164" t="s">
        <v>85</v>
      </c>
      <c r="O90" s="165" t="s">
        <v>6</v>
      </c>
    </row>
    <row r="91" spans="1:15" s="1" customFormat="1">
      <c r="A91" s="9">
        <v>1</v>
      </c>
      <c r="B91" s="4"/>
      <c r="C91" s="5">
        <v>600</v>
      </c>
      <c r="D91" s="4"/>
      <c r="E91" s="9">
        <v>1</v>
      </c>
      <c r="F91" s="4"/>
      <c r="G91" s="5">
        <v>3100</v>
      </c>
      <c r="I91" s="9">
        <v>1</v>
      </c>
      <c r="J91" s="4"/>
      <c r="K91" s="5">
        <v>520</v>
      </c>
      <c r="M91" s="9">
        <v>1</v>
      </c>
      <c r="N91" s="4"/>
      <c r="O91" s="5">
        <v>480</v>
      </c>
    </row>
    <row r="92" spans="1:15" s="1" customFormat="1">
      <c r="A92" s="9">
        <v>2</v>
      </c>
      <c r="B92" s="4"/>
      <c r="C92" s="6">
        <v>300</v>
      </c>
      <c r="D92" s="4"/>
      <c r="E92" s="9">
        <v>2</v>
      </c>
      <c r="F92" s="4"/>
      <c r="G92" s="6">
        <v>100</v>
      </c>
      <c r="I92" s="9">
        <v>2</v>
      </c>
      <c r="J92" s="4"/>
      <c r="K92" s="6">
        <v>440</v>
      </c>
      <c r="M92" s="9">
        <v>2</v>
      </c>
      <c r="N92" s="4"/>
      <c r="O92" s="5">
        <v>480</v>
      </c>
    </row>
    <row r="93" spans="1:15" s="1" customFormat="1">
      <c r="A93" s="9">
        <v>3</v>
      </c>
      <c r="B93" s="4"/>
      <c r="C93" s="6">
        <v>200</v>
      </c>
      <c r="D93" s="4"/>
      <c r="E93" s="9">
        <v>3</v>
      </c>
      <c r="F93" s="4"/>
      <c r="G93" s="6">
        <v>600</v>
      </c>
      <c r="I93" s="9">
        <v>3</v>
      </c>
      <c r="J93" s="4"/>
      <c r="K93" s="6">
        <v>100</v>
      </c>
      <c r="M93" s="9">
        <v>3</v>
      </c>
      <c r="N93" s="4"/>
      <c r="O93" s="5">
        <v>100</v>
      </c>
    </row>
    <row r="94" spans="1:15" s="1" customFormat="1">
      <c r="A94" s="9">
        <v>4</v>
      </c>
      <c r="B94" s="4"/>
      <c r="C94" s="6">
        <v>50</v>
      </c>
      <c r="D94" s="4"/>
      <c r="E94" s="9">
        <v>4</v>
      </c>
      <c r="F94" s="4"/>
      <c r="G94" s="6">
        <v>600</v>
      </c>
      <c r="I94" s="9">
        <v>4</v>
      </c>
      <c r="J94" s="4"/>
      <c r="K94" s="6">
        <v>100</v>
      </c>
      <c r="M94" s="9">
        <v>4</v>
      </c>
      <c r="N94" s="4"/>
      <c r="O94" s="5">
        <v>100</v>
      </c>
    </row>
    <row r="95" spans="1:15" s="1" customFormat="1">
      <c r="A95" s="9">
        <v>5</v>
      </c>
      <c r="B95" s="4"/>
      <c r="C95" s="6">
        <v>200</v>
      </c>
      <c r="D95" s="4"/>
      <c r="E95" s="9">
        <v>5</v>
      </c>
      <c r="F95" s="4"/>
      <c r="G95" s="6">
        <v>600</v>
      </c>
      <c r="I95" s="9">
        <v>5</v>
      </c>
      <c r="J95" s="16"/>
      <c r="K95" s="17">
        <v>100</v>
      </c>
      <c r="M95" s="9">
        <v>5</v>
      </c>
      <c r="N95" s="16"/>
      <c r="O95" s="17">
        <v>100</v>
      </c>
    </row>
    <row r="96" spans="1:15" s="1" customFormat="1">
      <c r="A96" s="9">
        <v>6</v>
      </c>
      <c r="B96" s="11"/>
      <c r="C96" s="12"/>
      <c r="D96" s="4"/>
      <c r="E96" s="9">
        <v>6</v>
      </c>
      <c r="F96" s="16"/>
      <c r="G96" s="17">
        <v>600</v>
      </c>
      <c r="I96" s="9">
        <v>6</v>
      </c>
      <c r="J96" s="11"/>
      <c r="K96" s="12"/>
      <c r="M96" s="9">
        <v>6</v>
      </c>
      <c r="N96" s="11"/>
      <c r="O96" s="12"/>
    </row>
    <row r="97" spans="1:15" s="1" customFormat="1">
      <c r="A97" s="9">
        <v>7</v>
      </c>
      <c r="B97" s="16"/>
      <c r="C97" s="17">
        <v>600</v>
      </c>
      <c r="D97" s="4"/>
      <c r="E97" s="9">
        <v>7</v>
      </c>
      <c r="F97" s="16"/>
      <c r="G97" s="17">
        <v>600</v>
      </c>
      <c r="I97" s="9">
        <v>7</v>
      </c>
      <c r="J97" s="11"/>
      <c r="K97" s="12"/>
      <c r="M97" s="9">
        <v>7</v>
      </c>
      <c r="N97" s="11"/>
      <c r="O97" s="12"/>
    </row>
    <row r="98" spans="1:15" s="1" customFormat="1">
      <c r="A98" s="9">
        <v>8</v>
      </c>
      <c r="B98" s="16"/>
      <c r="C98" s="17">
        <v>300</v>
      </c>
      <c r="D98" s="4"/>
      <c r="E98" s="9">
        <v>8</v>
      </c>
      <c r="F98" s="16"/>
      <c r="G98" s="17">
        <v>600</v>
      </c>
      <c r="I98" s="9">
        <v>8</v>
      </c>
      <c r="J98" s="11"/>
      <c r="K98" s="12"/>
      <c r="M98" s="9">
        <v>8</v>
      </c>
      <c r="N98" s="11"/>
      <c r="O98" s="12"/>
    </row>
    <row r="99" spans="1:15" s="1" customFormat="1">
      <c r="A99" s="9">
        <v>9</v>
      </c>
      <c r="B99" s="16"/>
      <c r="C99" s="17">
        <v>200</v>
      </c>
      <c r="D99" s="4"/>
      <c r="E99" s="9">
        <v>9</v>
      </c>
      <c r="F99" s="16"/>
      <c r="G99" s="17">
        <v>600</v>
      </c>
      <c r="I99" s="9">
        <v>9</v>
      </c>
      <c r="J99" s="4"/>
      <c r="K99" s="6">
        <v>520</v>
      </c>
      <c r="M99" s="9">
        <v>9</v>
      </c>
      <c r="N99" s="16"/>
      <c r="O99" s="17">
        <v>480</v>
      </c>
    </row>
    <row r="100" spans="1:15" s="1" customFormat="1">
      <c r="A100" s="9">
        <v>10</v>
      </c>
      <c r="B100" s="16"/>
      <c r="C100" s="17">
        <v>50</v>
      </c>
      <c r="D100" s="4"/>
      <c r="E100" s="9">
        <v>10</v>
      </c>
      <c r="F100" s="16"/>
      <c r="G100" s="17">
        <v>600</v>
      </c>
      <c r="I100" s="9">
        <v>10</v>
      </c>
      <c r="J100" s="4"/>
      <c r="K100" s="6">
        <v>440</v>
      </c>
      <c r="M100" s="9">
        <v>10</v>
      </c>
      <c r="N100" s="16"/>
      <c r="O100" s="17">
        <v>480</v>
      </c>
    </row>
    <row r="101" spans="1:15" s="1" customFormat="1">
      <c r="A101" s="9">
        <v>11</v>
      </c>
      <c r="B101" s="16"/>
      <c r="C101" s="17">
        <v>200</v>
      </c>
      <c r="D101" s="4"/>
      <c r="E101" s="9">
        <v>11</v>
      </c>
      <c r="F101" s="16"/>
      <c r="G101" s="17">
        <v>600</v>
      </c>
      <c r="I101" s="9">
        <v>11</v>
      </c>
      <c r="J101" s="4"/>
      <c r="K101" s="6">
        <v>100</v>
      </c>
      <c r="M101" s="9">
        <v>11</v>
      </c>
      <c r="N101" s="16"/>
      <c r="O101" s="17">
        <v>100</v>
      </c>
    </row>
    <row r="102" spans="1:15" s="1" customFormat="1">
      <c r="A102" s="9">
        <v>12</v>
      </c>
      <c r="B102" s="11"/>
      <c r="C102" s="12"/>
      <c r="D102" s="4"/>
      <c r="E102" s="9">
        <v>12</v>
      </c>
      <c r="F102" s="16"/>
      <c r="G102" s="17">
        <v>1200</v>
      </c>
      <c r="I102" s="9">
        <v>12</v>
      </c>
      <c r="J102" s="4"/>
      <c r="K102" s="6">
        <v>100</v>
      </c>
      <c r="M102" s="9">
        <v>12</v>
      </c>
      <c r="N102" s="16"/>
      <c r="O102" s="17">
        <v>100</v>
      </c>
    </row>
    <row r="103" spans="1:15" s="1" customFormat="1">
      <c r="A103" s="9">
        <v>13</v>
      </c>
      <c r="B103" s="16"/>
      <c r="C103" s="17">
        <v>600</v>
      </c>
      <c r="D103" s="4"/>
      <c r="E103" s="9">
        <v>13</v>
      </c>
      <c r="F103" s="16"/>
      <c r="G103" s="17">
        <v>2200</v>
      </c>
      <c r="I103" s="9">
        <v>13</v>
      </c>
      <c r="J103" s="16"/>
      <c r="K103" s="17">
        <v>100</v>
      </c>
      <c r="M103" s="9">
        <v>13</v>
      </c>
      <c r="N103" s="16"/>
      <c r="O103" s="17">
        <v>100</v>
      </c>
    </row>
    <row r="104" spans="1:15" s="1" customFormat="1">
      <c r="A104" s="9">
        <v>14</v>
      </c>
      <c r="B104" s="16"/>
      <c r="C104" s="17">
        <v>300</v>
      </c>
      <c r="D104" s="4"/>
      <c r="E104" s="9">
        <v>14</v>
      </c>
      <c r="F104" s="16"/>
      <c r="G104" s="17">
        <v>1800</v>
      </c>
      <c r="I104" s="9">
        <v>14</v>
      </c>
      <c r="J104" s="11"/>
      <c r="K104" s="12"/>
      <c r="M104" s="9">
        <v>14</v>
      </c>
      <c r="N104" s="11"/>
      <c r="O104" s="12"/>
    </row>
    <row r="105" spans="1:15" s="1" customFormat="1">
      <c r="A105" s="9">
        <v>15</v>
      </c>
      <c r="B105" s="16"/>
      <c r="C105" s="17">
        <v>200</v>
      </c>
      <c r="D105" s="4"/>
      <c r="E105" s="9">
        <v>15</v>
      </c>
      <c r="F105" s="16"/>
      <c r="G105" s="17">
        <v>600</v>
      </c>
      <c r="I105" s="9">
        <v>15</v>
      </c>
      <c r="J105" s="11"/>
      <c r="K105" s="12"/>
      <c r="M105" s="9">
        <v>15</v>
      </c>
      <c r="N105" s="11"/>
      <c r="O105" s="12"/>
    </row>
    <row r="106" spans="1:15" s="1" customFormat="1">
      <c r="A106" s="9">
        <v>16</v>
      </c>
      <c r="B106" s="16"/>
      <c r="C106" s="17">
        <v>50</v>
      </c>
      <c r="D106" s="4"/>
      <c r="E106" s="9">
        <v>16</v>
      </c>
      <c r="F106" s="11"/>
      <c r="G106" s="12"/>
      <c r="I106" s="9">
        <v>16</v>
      </c>
      <c r="J106" s="11"/>
      <c r="K106" s="12"/>
      <c r="M106" s="9">
        <v>16</v>
      </c>
      <c r="N106" s="11"/>
      <c r="O106" s="12"/>
    </row>
    <row r="107" spans="1:15" s="1" customFormat="1">
      <c r="A107" s="9">
        <v>17</v>
      </c>
      <c r="B107" s="16"/>
      <c r="C107" s="17">
        <v>200</v>
      </c>
      <c r="D107" s="4"/>
      <c r="E107" s="9">
        <v>17</v>
      </c>
      <c r="F107" s="11"/>
      <c r="G107" s="12"/>
      <c r="I107" s="9">
        <v>17</v>
      </c>
      <c r="J107" s="4"/>
      <c r="K107" s="6">
        <v>520</v>
      </c>
      <c r="M107" s="9">
        <v>17</v>
      </c>
      <c r="N107" s="16"/>
      <c r="O107" s="17">
        <v>480</v>
      </c>
    </row>
    <row r="108" spans="1:15" s="1" customFormat="1">
      <c r="A108" s="9">
        <v>18</v>
      </c>
      <c r="B108" s="11"/>
      <c r="C108" s="12"/>
      <c r="D108" s="4"/>
      <c r="E108" s="9">
        <v>18</v>
      </c>
      <c r="F108" s="11"/>
      <c r="G108" s="12"/>
      <c r="I108" s="9">
        <v>18</v>
      </c>
      <c r="J108" s="4"/>
      <c r="K108" s="6">
        <v>440</v>
      </c>
      <c r="M108" s="9">
        <v>18</v>
      </c>
      <c r="N108" s="16"/>
      <c r="O108" s="17">
        <v>480</v>
      </c>
    </row>
    <row r="109" spans="1:15" s="1" customFormat="1">
      <c r="A109" s="9">
        <v>19</v>
      </c>
      <c r="B109" s="16"/>
      <c r="C109" s="17">
        <v>600</v>
      </c>
      <c r="D109" s="4"/>
      <c r="E109" s="9">
        <v>19</v>
      </c>
      <c r="F109" s="11"/>
      <c r="G109" s="12"/>
      <c r="I109" s="9">
        <v>19</v>
      </c>
      <c r="J109" s="4"/>
      <c r="K109" s="6">
        <v>100</v>
      </c>
      <c r="M109" s="9">
        <v>19</v>
      </c>
      <c r="N109" s="16"/>
      <c r="O109" s="17">
        <v>100</v>
      </c>
    </row>
    <row r="110" spans="1:15" s="1" customFormat="1">
      <c r="A110" s="9">
        <v>20</v>
      </c>
      <c r="B110" s="16"/>
      <c r="C110" s="17">
        <v>300</v>
      </c>
      <c r="D110" s="4"/>
      <c r="E110" s="9">
        <v>20</v>
      </c>
      <c r="F110" s="11"/>
      <c r="G110" s="12"/>
      <c r="I110" s="9">
        <v>20</v>
      </c>
      <c r="J110" s="16"/>
      <c r="K110" s="17">
        <v>100</v>
      </c>
      <c r="M110" s="9">
        <v>20</v>
      </c>
      <c r="N110" s="16"/>
      <c r="O110" s="17">
        <v>100</v>
      </c>
    </row>
    <row r="111" spans="1:15" s="1" customFormat="1">
      <c r="A111" s="9">
        <v>21</v>
      </c>
      <c r="B111" s="16"/>
      <c r="C111" s="17">
        <v>200</v>
      </c>
      <c r="D111" s="4"/>
      <c r="E111" s="9">
        <v>21</v>
      </c>
      <c r="F111" s="11"/>
      <c r="G111" s="12"/>
      <c r="I111" s="9">
        <v>21</v>
      </c>
      <c r="J111" s="16"/>
      <c r="K111" s="17">
        <v>100</v>
      </c>
      <c r="M111" s="9">
        <v>21</v>
      </c>
      <c r="N111" s="16"/>
      <c r="O111" s="17">
        <v>100</v>
      </c>
    </row>
    <row r="112" spans="1:15" s="1" customFormat="1">
      <c r="A112" s="9">
        <v>22</v>
      </c>
      <c r="B112" s="16"/>
      <c r="C112" s="17">
        <v>50</v>
      </c>
      <c r="D112" s="4"/>
      <c r="E112" s="9">
        <v>22</v>
      </c>
      <c r="F112" s="11"/>
      <c r="G112" s="12"/>
      <c r="I112" s="9">
        <v>22</v>
      </c>
      <c r="J112" s="11"/>
      <c r="K112" s="12"/>
      <c r="M112" s="9">
        <v>22</v>
      </c>
      <c r="N112" s="11"/>
      <c r="O112" s="12"/>
    </row>
    <row r="113" spans="1:15" s="1" customFormat="1">
      <c r="A113" s="9">
        <v>23</v>
      </c>
      <c r="B113" s="16"/>
      <c r="C113" s="17">
        <v>200</v>
      </c>
      <c r="D113" s="4"/>
      <c r="E113" s="9">
        <v>23</v>
      </c>
      <c r="F113" s="11"/>
      <c r="G113" s="12"/>
      <c r="I113" s="9">
        <v>23</v>
      </c>
      <c r="J113" s="11"/>
      <c r="K113" s="12"/>
      <c r="M113" s="9">
        <v>23</v>
      </c>
      <c r="N113" s="11"/>
      <c r="O113" s="12"/>
    </row>
    <row r="114" spans="1:15" s="1" customFormat="1" ht="15.75" thickBot="1">
      <c r="A114" s="10">
        <v>24</v>
      </c>
      <c r="B114" s="13"/>
      <c r="C114" s="14"/>
      <c r="D114" s="4"/>
      <c r="E114" s="10">
        <v>24</v>
      </c>
      <c r="F114" s="13"/>
      <c r="G114" s="14"/>
      <c r="I114" s="10">
        <v>24</v>
      </c>
      <c r="J114" s="13"/>
      <c r="K114" s="14"/>
      <c r="M114" s="10">
        <v>24</v>
      </c>
      <c r="N114" s="168"/>
      <c r="O114" s="14"/>
    </row>
    <row r="115" spans="1:15" s="1" customFormat="1" ht="15.75" thickBot="1">
      <c r="A115" s="3"/>
      <c r="C115" s="171">
        <f>SUM(C91:C114)</f>
        <v>5400</v>
      </c>
      <c r="D115" s="174"/>
      <c r="E115" s="175"/>
      <c r="F115" s="174"/>
      <c r="G115" s="171">
        <f>SUM(G91:G114)</f>
        <v>14400</v>
      </c>
      <c r="H115" s="174"/>
      <c r="I115" s="175"/>
      <c r="J115" s="174"/>
      <c r="K115" s="171">
        <f>SUM(K91:K114)</f>
        <v>3780</v>
      </c>
      <c r="L115" s="174"/>
      <c r="M115" s="174"/>
      <c r="N115" s="174"/>
      <c r="O115" s="173">
        <f>SUM(O91:O114)</f>
        <v>3780</v>
      </c>
    </row>
    <row r="116" spans="1:15" ht="15.75" thickBot="1"/>
    <row r="117" spans="1:15" ht="29.25" thickBot="1">
      <c r="E117" s="163"/>
      <c r="F117" s="164" t="s">
        <v>86</v>
      </c>
      <c r="G117" s="165" t="s">
        <v>83</v>
      </c>
    </row>
    <row r="118" spans="1:15">
      <c r="E118" s="9">
        <v>1</v>
      </c>
      <c r="F118" s="4"/>
      <c r="G118" s="5">
        <v>600</v>
      </c>
    </row>
    <row r="119" spans="1:15">
      <c r="E119" s="9">
        <v>2</v>
      </c>
      <c r="F119" s="4"/>
      <c r="G119" s="6">
        <v>600</v>
      </c>
    </row>
    <row r="120" spans="1:15">
      <c r="E120" s="9">
        <v>3</v>
      </c>
      <c r="F120" s="4"/>
      <c r="G120" s="6">
        <v>600</v>
      </c>
    </row>
    <row r="121" spans="1:15">
      <c r="E121" s="9">
        <v>4</v>
      </c>
      <c r="F121" s="4"/>
      <c r="G121" s="6">
        <v>600</v>
      </c>
    </row>
    <row r="122" spans="1:15">
      <c r="E122" s="9">
        <v>5</v>
      </c>
      <c r="F122" s="4"/>
      <c r="G122" s="6">
        <v>600</v>
      </c>
    </row>
    <row r="123" spans="1:15">
      <c r="E123" s="9">
        <v>6</v>
      </c>
      <c r="F123" s="16"/>
      <c r="G123" s="17">
        <v>600</v>
      </c>
    </row>
    <row r="124" spans="1:15">
      <c r="E124" s="9">
        <v>7</v>
      </c>
      <c r="F124" s="16"/>
      <c r="G124" s="17">
        <v>2000</v>
      </c>
    </row>
    <row r="125" spans="1:15">
      <c r="E125" s="9">
        <v>8</v>
      </c>
      <c r="F125" s="16"/>
      <c r="G125" s="17">
        <v>2000</v>
      </c>
    </row>
    <row r="126" spans="1:15">
      <c r="E126" s="9">
        <v>9</v>
      </c>
      <c r="F126" s="11"/>
      <c r="G126" s="12"/>
    </row>
    <row r="127" spans="1:15">
      <c r="E127" s="9">
        <v>10</v>
      </c>
      <c r="F127" s="11"/>
      <c r="G127" s="12"/>
    </row>
    <row r="128" spans="1:15">
      <c r="E128" s="9">
        <v>11</v>
      </c>
      <c r="F128" s="11"/>
      <c r="G128" s="12"/>
    </row>
    <row r="129" spans="4:7" ht="15.75" thickBot="1">
      <c r="E129" s="10">
        <v>12</v>
      </c>
      <c r="F129" s="13"/>
      <c r="G129" s="14"/>
    </row>
    <row r="130" spans="4:7" ht="15.75" thickBot="1">
      <c r="E130" s="3"/>
      <c r="F130" s="1"/>
      <c r="G130" s="173">
        <f>SUM(G118:G129)</f>
        <v>7600</v>
      </c>
    </row>
    <row r="132" spans="4:7">
      <c r="D13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43"/>
  <sheetViews>
    <sheetView workbookViewId="0">
      <selection activeCell="O24" sqref="O24"/>
    </sheetView>
  </sheetViews>
  <sheetFormatPr defaultRowHeight="15"/>
  <cols>
    <col min="1" max="1" width="6.5703125" bestFit="1" customWidth="1"/>
    <col min="2" max="2" width="12.140625" bestFit="1" customWidth="1"/>
    <col min="3" max="3" width="9.28515625" bestFit="1" customWidth="1"/>
    <col min="4" max="4" width="8.140625" bestFit="1" customWidth="1"/>
    <col min="5" max="5" width="10" style="205" customWidth="1"/>
    <col min="6" max="6" width="12.140625" bestFit="1" customWidth="1"/>
    <col min="7" max="7" width="8.42578125" customWidth="1"/>
    <col min="9" max="9" width="6.5703125" bestFit="1" customWidth="1"/>
    <col min="11" max="11" width="4.140625" bestFit="1" customWidth="1"/>
    <col min="12" max="12" width="5" bestFit="1" customWidth="1"/>
    <col min="13" max="13" width="4.7109375" hidden="1" customWidth="1"/>
    <col min="14" max="14" width="5.5703125" bestFit="1" customWidth="1"/>
    <col min="15" max="15" width="7.85546875" style="1" customWidth="1"/>
    <col min="16" max="16" width="20.85546875" style="1" bestFit="1" customWidth="1"/>
    <col min="17" max="17" width="5.5703125" bestFit="1" customWidth="1"/>
    <col min="18" max="18" width="6.85546875" customWidth="1"/>
    <col min="19" max="19" width="22.28515625" customWidth="1"/>
  </cols>
  <sheetData>
    <row r="1" spans="1:19" ht="15" customHeight="1">
      <c r="A1" s="307" t="s">
        <v>314</v>
      </c>
      <c r="B1" s="716" t="s">
        <v>93</v>
      </c>
      <c r="C1" s="718" t="s">
        <v>201</v>
      </c>
      <c r="D1" s="720" t="s">
        <v>315</v>
      </c>
      <c r="E1" s="722" t="s">
        <v>316</v>
      </c>
      <c r="F1" s="716" t="s">
        <v>93</v>
      </c>
      <c r="G1" s="718" t="s">
        <v>201</v>
      </c>
      <c r="H1" s="720" t="s">
        <v>315</v>
      </c>
      <c r="I1" s="308" t="s">
        <v>314</v>
      </c>
      <c r="K1" s="726" t="s">
        <v>91</v>
      </c>
      <c r="L1" s="724" t="s">
        <v>401</v>
      </c>
      <c r="M1" s="710" t="s">
        <v>194</v>
      </c>
      <c r="N1" s="712" t="s">
        <v>395</v>
      </c>
      <c r="O1" s="713"/>
      <c r="P1" s="714"/>
      <c r="Q1" s="713" t="s">
        <v>396</v>
      </c>
      <c r="R1" s="713"/>
      <c r="S1" s="715"/>
    </row>
    <row r="2" spans="1:19" ht="15.75" thickBot="1">
      <c r="A2" s="309" t="s">
        <v>317</v>
      </c>
      <c r="B2" s="717"/>
      <c r="C2" s="719"/>
      <c r="D2" s="721"/>
      <c r="E2" s="723"/>
      <c r="F2" s="717"/>
      <c r="G2" s="719"/>
      <c r="H2" s="721"/>
      <c r="I2" s="310" t="s">
        <v>317</v>
      </c>
      <c r="K2" s="727"/>
      <c r="L2" s="725"/>
      <c r="M2" s="711"/>
      <c r="N2" s="357" t="s">
        <v>95</v>
      </c>
      <c r="O2" s="357" t="s">
        <v>92</v>
      </c>
      <c r="P2" s="358" t="s">
        <v>314</v>
      </c>
      <c r="Q2" s="371" t="s">
        <v>95</v>
      </c>
      <c r="R2" s="357" t="s">
        <v>92</v>
      </c>
      <c r="S2" s="359" t="s">
        <v>314</v>
      </c>
    </row>
    <row r="3" spans="1:19" ht="15.75" thickTop="1">
      <c r="A3" s="311">
        <v>1</v>
      </c>
      <c r="B3" s="312" t="s">
        <v>318</v>
      </c>
      <c r="C3" s="313" t="s">
        <v>319</v>
      </c>
      <c r="D3" s="314" t="s">
        <v>320</v>
      </c>
      <c r="E3" s="325">
        <v>60</v>
      </c>
      <c r="F3" s="315" t="s">
        <v>321</v>
      </c>
      <c r="G3" s="316" t="s">
        <v>319</v>
      </c>
      <c r="H3" s="317" t="s">
        <v>322</v>
      </c>
      <c r="I3" s="318">
        <v>2</v>
      </c>
      <c r="K3" s="367" t="s">
        <v>397</v>
      </c>
      <c r="L3" s="368">
        <v>30</v>
      </c>
      <c r="M3" s="369" t="s">
        <v>398</v>
      </c>
      <c r="N3" s="356">
        <v>36</v>
      </c>
      <c r="O3" s="375">
        <f>L3*1000/N3/SQRT(3)</f>
        <v>481.12522432468819</v>
      </c>
      <c r="P3" s="372" t="s">
        <v>282</v>
      </c>
      <c r="Q3" s="369">
        <v>83</v>
      </c>
      <c r="R3" s="377">
        <f>L3/Q3*1000/SQRT(3)</f>
        <v>208.68082018902135</v>
      </c>
      <c r="S3" s="370" t="s">
        <v>283</v>
      </c>
    </row>
    <row r="4" spans="1:19">
      <c r="A4" s="319">
        <v>3</v>
      </c>
      <c r="B4" s="315" t="s">
        <v>318</v>
      </c>
      <c r="C4" s="316" t="s">
        <v>323</v>
      </c>
      <c r="D4" s="317" t="s">
        <v>320</v>
      </c>
      <c r="E4" s="324">
        <v>70</v>
      </c>
      <c r="F4" s="315" t="s">
        <v>321</v>
      </c>
      <c r="G4" s="316" t="s">
        <v>323</v>
      </c>
      <c r="H4" s="317" t="s">
        <v>322</v>
      </c>
      <c r="I4" s="318">
        <v>4</v>
      </c>
      <c r="K4" s="360" t="s">
        <v>215</v>
      </c>
      <c r="L4" s="355">
        <v>45</v>
      </c>
      <c r="M4" s="354" t="s">
        <v>398</v>
      </c>
      <c r="N4" s="353">
        <v>54</v>
      </c>
      <c r="O4" s="375">
        <f t="shared" ref="O4:O6" si="0">L4*1000/N4/SQRT(3)</f>
        <v>481.12522432468819</v>
      </c>
      <c r="P4" s="373" t="s">
        <v>399</v>
      </c>
      <c r="Q4" s="354">
        <v>125</v>
      </c>
      <c r="R4" s="377">
        <f t="shared" ref="R4:R6" si="1">L4/Q4*1000/SQRT(3)</f>
        <v>207.84609690826528</v>
      </c>
      <c r="S4" s="361" t="s">
        <v>400</v>
      </c>
    </row>
    <row r="5" spans="1:19">
      <c r="A5" s="319">
        <v>5</v>
      </c>
      <c r="B5" s="315" t="s">
        <v>324</v>
      </c>
      <c r="C5" s="316" t="s">
        <v>323</v>
      </c>
      <c r="D5" s="317" t="s">
        <v>325</v>
      </c>
      <c r="E5" s="324">
        <v>100</v>
      </c>
      <c r="F5" s="315" t="s">
        <v>326</v>
      </c>
      <c r="G5" s="316" t="s">
        <v>323</v>
      </c>
      <c r="H5" s="317" t="s">
        <v>325</v>
      </c>
      <c r="I5" s="318">
        <v>6</v>
      </c>
      <c r="K5" s="360" t="s">
        <v>213</v>
      </c>
      <c r="L5" s="355">
        <v>75</v>
      </c>
      <c r="M5" s="354" t="s">
        <v>398</v>
      </c>
      <c r="N5" s="353">
        <v>90</v>
      </c>
      <c r="O5" s="375">
        <f t="shared" si="0"/>
        <v>481.12522432468819</v>
      </c>
      <c r="P5" s="373" t="s">
        <v>275</v>
      </c>
      <c r="Q5" s="354">
        <v>208</v>
      </c>
      <c r="R5" s="377">
        <f t="shared" si="1"/>
        <v>208.17918360202853</v>
      </c>
      <c r="S5" s="361" t="s">
        <v>276</v>
      </c>
    </row>
    <row r="6" spans="1:19" ht="15.75" thickBot="1">
      <c r="A6" s="319">
        <v>7</v>
      </c>
      <c r="B6" s="315" t="s">
        <v>327</v>
      </c>
      <c r="C6" s="316" t="s">
        <v>328</v>
      </c>
      <c r="D6" s="317" t="s">
        <v>325</v>
      </c>
      <c r="E6" s="324">
        <v>125</v>
      </c>
      <c r="F6" s="315" t="s">
        <v>329</v>
      </c>
      <c r="G6" s="316" t="s">
        <v>328</v>
      </c>
      <c r="H6" s="317" t="s">
        <v>330</v>
      </c>
      <c r="I6" s="318">
        <v>8</v>
      </c>
      <c r="K6" s="362" t="s">
        <v>212</v>
      </c>
      <c r="L6" s="363">
        <v>150</v>
      </c>
      <c r="M6" s="364" t="s">
        <v>398</v>
      </c>
      <c r="N6" s="365">
        <v>181</v>
      </c>
      <c r="O6" s="376">
        <f t="shared" si="0"/>
        <v>478.46707391405454</v>
      </c>
      <c r="P6" s="374" t="s">
        <v>280</v>
      </c>
      <c r="Q6" s="364">
        <v>417</v>
      </c>
      <c r="R6" s="377">
        <f t="shared" si="1"/>
        <v>207.67995294590855</v>
      </c>
      <c r="S6" s="366" t="s">
        <v>281</v>
      </c>
    </row>
    <row r="7" spans="1:19">
      <c r="A7" s="319">
        <v>9</v>
      </c>
      <c r="B7" s="315" t="s">
        <v>327</v>
      </c>
      <c r="C7" s="316" t="s">
        <v>328</v>
      </c>
      <c r="D7" s="317" t="s">
        <v>325</v>
      </c>
      <c r="E7" s="324">
        <v>150</v>
      </c>
      <c r="F7" s="315" t="s">
        <v>329</v>
      </c>
      <c r="G7" s="316" t="s">
        <v>328</v>
      </c>
      <c r="H7" s="317" t="s">
        <v>330</v>
      </c>
      <c r="I7" s="318">
        <v>10</v>
      </c>
    </row>
    <row r="8" spans="1:19">
      <c r="A8" s="319">
        <v>11</v>
      </c>
      <c r="B8" s="315" t="s">
        <v>331</v>
      </c>
      <c r="C8" s="316" t="s">
        <v>328</v>
      </c>
      <c r="D8" s="317" t="s">
        <v>330</v>
      </c>
      <c r="E8" s="324">
        <v>175</v>
      </c>
      <c r="F8" s="315" t="s">
        <v>332</v>
      </c>
      <c r="G8" s="316" t="s">
        <v>328</v>
      </c>
      <c r="H8" s="317" t="s">
        <v>330</v>
      </c>
      <c r="I8" s="318">
        <v>12</v>
      </c>
    </row>
    <row r="9" spans="1:19">
      <c r="A9" s="319">
        <v>13</v>
      </c>
      <c r="B9" s="315" t="s">
        <v>333</v>
      </c>
      <c r="C9" s="316" t="s">
        <v>328</v>
      </c>
      <c r="D9" s="317" t="s">
        <v>330</v>
      </c>
      <c r="E9" s="324">
        <v>200</v>
      </c>
      <c r="F9" s="315" t="s">
        <v>334</v>
      </c>
      <c r="G9" s="316" t="s">
        <v>328</v>
      </c>
      <c r="H9" s="317" t="s">
        <v>330</v>
      </c>
      <c r="I9" s="318">
        <v>14</v>
      </c>
    </row>
    <row r="10" spans="1:19">
      <c r="A10" s="319">
        <v>15</v>
      </c>
      <c r="B10" s="315" t="s">
        <v>335</v>
      </c>
      <c r="C10" s="316" t="s">
        <v>336</v>
      </c>
      <c r="D10" s="317" t="s">
        <v>330</v>
      </c>
      <c r="E10" s="324">
        <v>225</v>
      </c>
      <c r="F10" s="315" t="s">
        <v>337</v>
      </c>
      <c r="G10" s="316" t="s">
        <v>336</v>
      </c>
      <c r="H10" s="317" t="s">
        <v>338</v>
      </c>
      <c r="I10" s="318">
        <v>16</v>
      </c>
    </row>
    <row r="11" spans="1:19">
      <c r="A11" s="319">
        <v>17</v>
      </c>
      <c r="B11" s="315" t="s">
        <v>339</v>
      </c>
      <c r="C11" s="316" t="s">
        <v>336</v>
      </c>
      <c r="D11" s="317" t="s">
        <v>338</v>
      </c>
      <c r="E11" s="324">
        <v>250</v>
      </c>
      <c r="F11" s="315" t="s">
        <v>340</v>
      </c>
      <c r="G11" s="316" t="s">
        <v>336</v>
      </c>
      <c r="H11" s="317" t="s">
        <v>341</v>
      </c>
      <c r="I11" s="318">
        <v>18</v>
      </c>
    </row>
    <row r="12" spans="1:19">
      <c r="A12" s="319">
        <v>19</v>
      </c>
      <c r="B12" s="315" t="s">
        <v>342</v>
      </c>
      <c r="C12" s="316" t="s">
        <v>336</v>
      </c>
      <c r="D12" s="317" t="s">
        <v>341</v>
      </c>
      <c r="E12" s="324">
        <v>300</v>
      </c>
      <c r="F12" s="315" t="s">
        <v>343</v>
      </c>
      <c r="G12" s="316" t="s">
        <v>336</v>
      </c>
      <c r="H12" s="317" t="s">
        <v>341</v>
      </c>
      <c r="I12" s="318">
        <v>20</v>
      </c>
    </row>
    <row r="13" spans="1:19">
      <c r="A13" s="319">
        <v>21</v>
      </c>
      <c r="B13" s="315" t="s">
        <v>344</v>
      </c>
      <c r="C13" s="316" t="s">
        <v>345</v>
      </c>
      <c r="D13" s="317" t="s">
        <v>346</v>
      </c>
      <c r="E13" s="324">
        <v>350</v>
      </c>
      <c r="F13" s="315" t="s">
        <v>347</v>
      </c>
      <c r="G13" s="316" t="s">
        <v>345</v>
      </c>
      <c r="H13" s="317" t="s">
        <v>348</v>
      </c>
      <c r="I13" s="318">
        <v>22</v>
      </c>
    </row>
    <row r="14" spans="1:19">
      <c r="A14" s="319">
        <v>23</v>
      </c>
      <c r="B14" s="315" t="s">
        <v>349</v>
      </c>
      <c r="C14" s="316" t="s">
        <v>345</v>
      </c>
      <c r="D14" s="317" t="s">
        <v>346</v>
      </c>
      <c r="E14" s="324">
        <v>400</v>
      </c>
      <c r="F14" s="315" t="s">
        <v>350</v>
      </c>
      <c r="G14" s="316" t="s">
        <v>345</v>
      </c>
      <c r="H14" s="317" t="s">
        <v>348</v>
      </c>
      <c r="I14" s="318">
        <v>24</v>
      </c>
    </row>
    <row r="15" spans="1:19">
      <c r="A15" s="319">
        <v>25</v>
      </c>
      <c r="B15" s="315" t="s">
        <v>351</v>
      </c>
      <c r="C15" s="316" t="s">
        <v>352</v>
      </c>
      <c r="D15" s="317" t="s">
        <v>353</v>
      </c>
      <c r="E15" s="324">
        <v>500</v>
      </c>
      <c r="F15" s="315" t="s">
        <v>354</v>
      </c>
      <c r="G15" s="316" t="s">
        <v>352</v>
      </c>
      <c r="H15" s="317" t="s">
        <v>355</v>
      </c>
      <c r="I15" s="318">
        <v>26</v>
      </c>
    </row>
    <row r="16" spans="1:19">
      <c r="A16" s="319">
        <v>27</v>
      </c>
      <c r="B16" s="315" t="s">
        <v>356</v>
      </c>
      <c r="C16" s="316" t="s">
        <v>357</v>
      </c>
      <c r="D16" s="317" t="s">
        <v>355</v>
      </c>
      <c r="E16" s="324">
        <v>600</v>
      </c>
      <c r="F16" s="315" t="s">
        <v>358</v>
      </c>
      <c r="G16" s="316" t="s">
        <v>357</v>
      </c>
      <c r="H16" s="317" t="s">
        <v>355</v>
      </c>
      <c r="I16" s="318">
        <v>28</v>
      </c>
    </row>
    <row r="17" spans="1:9">
      <c r="A17" s="319">
        <v>29</v>
      </c>
      <c r="B17" s="315" t="s">
        <v>359</v>
      </c>
      <c r="C17" s="316" t="s">
        <v>360</v>
      </c>
      <c r="D17" s="317" t="s">
        <v>361</v>
      </c>
      <c r="E17" s="324">
        <v>800</v>
      </c>
      <c r="F17" s="315" t="s">
        <v>362</v>
      </c>
      <c r="G17" s="316" t="s">
        <v>363</v>
      </c>
      <c r="H17" s="317" t="s">
        <v>364</v>
      </c>
      <c r="I17" s="318">
        <v>30</v>
      </c>
    </row>
    <row r="18" spans="1:9">
      <c r="A18" s="319">
        <v>31</v>
      </c>
      <c r="B18" s="315" t="s">
        <v>365</v>
      </c>
      <c r="C18" s="316" t="s">
        <v>331</v>
      </c>
      <c r="D18" s="317" t="s">
        <v>366</v>
      </c>
      <c r="E18" s="324">
        <v>1000</v>
      </c>
      <c r="F18" s="315" t="s">
        <v>367</v>
      </c>
      <c r="G18" s="316" t="s">
        <v>331</v>
      </c>
      <c r="H18" s="317" t="s">
        <v>366</v>
      </c>
      <c r="I18" s="318">
        <v>32</v>
      </c>
    </row>
    <row r="19" spans="1:9">
      <c r="A19" s="319">
        <v>33</v>
      </c>
      <c r="B19" s="315" t="s">
        <v>368</v>
      </c>
      <c r="C19" s="316" t="s">
        <v>333</v>
      </c>
      <c r="D19" s="317" t="s">
        <v>369</v>
      </c>
      <c r="E19" s="324">
        <v>1200</v>
      </c>
      <c r="F19" s="315" t="s">
        <v>370</v>
      </c>
      <c r="G19" s="316" t="s">
        <v>333</v>
      </c>
      <c r="H19" s="317" t="s">
        <v>366</v>
      </c>
      <c r="I19" s="318">
        <v>34</v>
      </c>
    </row>
    <row r="20" spans="1:9">
      <c r="A20" s="319">
        <v>35</v>
      </c>
      <c r="B20" s="315" t="s">
        <v>370</v>
      </c>
      <c r="C20" s="316" t="s">
        <v>337</v>
      </c>
      <c r="D20" s="317" t="s">
        <v>371</v>
      </c>
      <c r="E20" s="324">
        <v>1600</v>
      </c>
      <c r="F20" s="320" t="s">
        <v>372</v>
      </c>
      <c r="G20" s="321" t="s">
        <v>337</v>
      </c>
      <c r="H20" s="322" t="s">
        <v>373</v>
      </c>
      <c r="I20" s="323">
        <v>36</v>
      </c>
    </row>
    <row r="21" spans="1:9" ht="15" customHeight="1">
      <c r="A21" s="326" t="s">
        <v>374</v>
      </c>
      <c r="B21" s="326"/>
      <c r="C21" s="326"/>
      <c r="D21" s="326"/>
      <c r="E21" s="326"/>
      <c r="F21" s="326"/>
      <c r="G21" s="326"/>
      <c r="H21" s="326"/>
      <c r="I21" s="326"/>
    </row>
    <row r="22" spans="1:9" ht="15" customHeight="1" thickBot="1"/>
    <row r="23" spans="1:9" ht="15.75" thickBot="1">
      <c r="A23" s="303" t="s">
        <v>269</v>
      </c>
      <c r="B23" s="378" t="s">
        <v>286</v>
      </c>
      <c r="C23" s="385"/>
    </row>
    <row r="24" spans="1:9" ht="15.75" thickTop="1">
      <c r="A24" s="304" t="s">
        <v>287</v>
      </c>
      <c r="B24" s="382" t="s">
        <v>288</v>
      </c>
      <c r="C24" s="383"/>
    </row>
    <row r="25" spans="1:9">
      <c r="A25" s="305" t="s">
        <v>289</v>
      </c>
      <c r="B25" s="379" t="s">
        <v>288</v>
      </c>
      <c r="C25" s="383"/>
    </row>
    <row r="26" spans="1:9">
      <c r="A26" s="305" t="s">
        <v>203</v>
      </c>
      <c r="B26" s="379" t="s">
        <v>288</v>
      </c>
      <c r="C26" s="383"/>
    </row>
    <row r="27" spans="1:9">
      <c r="A27" s="305" t="s">
        <v>290</v>
      </c>
      <c r="B27" s="379" t="s">
        <v>288</v>
      </c>
      <c r="C27" s="383"/>
    </row>
    <row r="28" spans="1:9">
      <c r="A28" s="305" t="s">
        <v>204</v>
      </c>
      <c r="B28" s="379" t="s">
        <v>288</v>
      </c>
      <c r="C28" s="383"/>
    </row>
    <row r="29" spans="1:9">
      <c r="A29" s="305" t="s">
        <v>205</v>
      </c>
      <c r="B29" s="379" t="s">
        <v>288</v>
      </c>
      <c r="C29" s="383"/>
    </row>
    <row r="30" spans="1:9">
      <c r="A30" s="305" t="s">
        <v>291</v>
      </c>
      <c r="B30" s="379" t="s">
        <v>288</v>
      </c>
      <c r="C30" s="383"/>
    </row>
    <row r="31" spans="1:9">
      <c r="A31" s="305" t="s">
        <v>292</v>
      </c>
      <c r="B31" s="379" t="s">
        <v>293</v>
      </c>
      <c r="C31" s="383"/>
    </row>
    <row r="32" spans="1:9">
      <c r="A32" s="305" t="s">
        <v>294</v>
      </c>
      <c r="B32" s="379" t="s">
        <v>293</v>
      </c>
      <c r="C32" s="383"/>
    </row>
    <row r="33" spans="1:3">
      <c r="A33" s="305" t="s">
        <v>295</v>
      </c>
      <c r="B33" s="379" t="s">
        <v>296</v>
      </c>
      <c r="C33" s="383"/>
    </row>
    <row r="34" spans="1:3">
      <c r="A34" s="305" t="s">
        <v>297</v>
      </c>
      <c r="B34" s="379" t="s">
        <v>298</v>
      </c>
      <c r="C34" s="383"/>
    </row>
    <row r="35" spans="1:3">
      <c r="A35" s="305" t="s">
        <v>299</v>
      </c>
      <c r="B35" s="379" t="s">
        <v>298</v>
      </c>
      <c r="C35" s="383"/>
    </row>
    <row r="36" spans="1:3">
      <c r="A36" s="305" t="s">
        <v>300</v>
      </c>
      <c r="B36" s="379" t="s">
        <v>301</v>
      </c>
      <c r="C36" s="383"/>
    </row>
    <row r="37" spans="1:3">
      <c r="A37" s="305" t="s">
        <v>302</v>
      </c>
      <c r="B37" s="379" t="s">
        <v>303</v>
      </c>
      <c r="C37" s="383"/>
    </row>
    <row r="38" spans="1:3">
      <c r="A38" s="305" t="s">
        <v>304</v>
      </c>
      <c r="B38" s="379" t="s">
        <v>305</v>
      </c>
      <c r="C38" s="383"/>
    </row>
    <row r="39" spans="1:3">
      <c r="A39" s="305" t="s">
        <v>306</v>
      </c>
      <c r="B39" s="379" t="s">
        <v>307</v>
      </c>
      <c r="C39" s="383"/>
    </row>
    <row r="40" spans="1:3">
      <c r="A40" s="305" t="s">
        <v>308</v>
      </c>
      <c r="B40" s="379" t="s">
        <v>309</v>
      </c>
      <c r="C40" s="383"/>
    </row>
    <row r="41" spans="1:3">
      <c r="A41" s="305" t="s">
        <v>310</v>
      </c>
      <c r="B41" s="379" t="s">
        <v>311</v>
      </c>
      <c r="C41" s="383"/>
    </row>
    <row r="42" spans="1:3" ht="15.75" thickBot="1">
      <c r="A42" s="306" t="s">
        <v>312</v>
      </c>
      <c r="B42" s="380" t="s">
        <v>313</v>
      </c>
      <c r="C42" s="384"/>
    </row>
    <row r="43" spans="1:3">
      <c r="B43" s="381"/>
    </row>
  </sheetData>
  <mergeCells count="12">
    <mergeCell ref="M1:M2"/>
    <mergeCell ref="N1:P1"/>
    <mergeCell ref="Q1:S1"/>
    <mergeCell ref="B1:B2"/>
    <mergeCell ref="C1:C2"/>
    <mergeCell ref="D1:D2"/>
    <mergeCell ref="E1:E2"/>
    <mergeCell ref="F1:F2"/>
    <mergeCell ref="G1:G2"/>
    <mergeCell ref="H1:H2"/>
    <mergeCell ref="L1:L2"/>
    <mergeCell ref="K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dist'n panels</vt:lpstr>
      <vt:lpstr>indiv. panels</vt:lpstr>
      <vt:lpstr>mech loads</vt:lpstr>
      <vt:lpstr>MCC</vt:lpstr>
      <vt:lpstr>dim-cntl panel loads</vt:lpstr>
      <vt:lpstr>feeder schedule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Yena K. Han</dc:creator>
  <cp:lastModifiedBy>Yena K. Han</cp:lastModifiedBy>
  <cp:lastPrinted>2007-03-25T01:46:34Z</cp:lastPrinted>
  <dcterms:created xsi:type="dcterms:W3CDTF">2007-03-20T17:18:29Z</dcterms:created>
  <dcterms:modified xsi:type="dcterms:W3CDTF">2007-04-03T18:27:09Z</dcterms:modified>
</cp:coreProperties>
</file>