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8225" windowHeight="9600" activeTab="0"/>
  </bookViews>
  <sheets>
    <sheet name="Core Bms" sheetId="1" r:id="rId1"/>
    <sheet name="Flr 2" sheetId="2" r:id="rId2"/>
    <sheet name="Flr 3-5" sheetId="3" r:id="rId3"/>
    <sheet name="Flr 6-8" sheetId="4" r:id="rId4"/>
    <sheet name="Flr 9-11" sheetId="5" r:id="rId5"/>
    <sheet name="Flr 12" sheetId="6" r:id="rId6"/>
  </sheets>
  <definedNames/>
  <calcPr fullCalcOnLoad="1"/>
</workbook>
</file>

<file path=xl/sharedStrings.xml><?xml version="1.0" encoding="utf-8"?>
<sst xmlns="http://schemas.openxmlformats.org/spreadsheetml/2006/main" count="5138" uniqueCount="295">
  <si>
    <t>d</t>
  </si>
  <si>
    <t>deck</t>
  </si>
  <si>
    <t>tw</t>
  </si>
  <si>
    <t>fy</t>
  </si>
  <si>
    <t>f'c</t>
  </si>
  <si>
    <t>a</t>
  </si>
  <si>
    <t>(AsFy)</t>
  </si>
  <si>
    <t>DL</t>
  </si>
  <si>
    <t>LL</t>
  </si>
  <si>
    <t>Y1</t>
  </si>
  <si>
    <t>Y2</t>
  </si>
  <si>
    <t>plf</t>
  </si>
  <si>
    <t>ft</t>
  </si>
  <si>
    <t>Const.</t>
  </si>
  <si>
    <t>Mu</t>
  </si>
  <si>
    <t>1.6LL</t>
  </si>
  <si>
    <t>Space</t>
  </si>
  <si>
    <t>AISC</t>
  </si>
  <si>
    <t>Tab3-21</t>
  </si>
  <si>
    <t>t</t>
  </si>
  <si>
    <t>lb/in</t>
  </si>
  <si>
    <t>L</t>
  </si>
  <si>
    <t>req'd</t>
  </si>
  <si>
    <t>?</t>
  </si>
  <si>
    <t>Qn (K)</t>
  </si>
  <si>
    <t>Trib</t>
  </si>
  <si>
    <t>Width/</t>
  </si>
  <si>
    <t>Factor</t>
  </si>
  <si>
    <t>psf</t>
  </si>
  <si>
    <t>Low</t>
  </si>
  <si>
    <t>Stud</t>
  </si>
  <si>
    <t>#</t>
  </si>
  <si>
    <t>3/4"dia</t>
  </si>
  <si>
    <t>Ixx</t>
  </si>
  <si>
    <t>Steel</t>
  </si>
  <si>
    <t>K</t>
  </si>
  <si>
    <t>Vu</t>
  </si>
  <si>
    <t>&amp;</t>
  </si>
  <si>
    <t>in^4</t>
  </si>
  <si>
    <t xml:space="preserve"> Δ OK</t>
  </si>
  <si>
    <t>in</t>
  </si>
  <si>
    <t>DL Δ</t>
  </si>
  <si>
    <t>LL Δ</t>
  </si>
  <si>
    <t>in²</t>
  </si>
  <si>
    <t>ksi</t>
  </si>
  <si>
    <t>ft-K</t>
  </si>
  <si>
    <t>Bnd Ixx</t>
  </si>
  <si>
    <t>As</t>
  </si>
  <si>
    <t>be</t>
  </si>
  <si>
    <t>ΣQn</t>
  </si>
  <si>
    <t>ΦVn&gt;Vu</t>
  </si>
  <si>
    <t>ΦMn</t>
  </si>
  <si>
    <t>ΦVn</t>
  </si>
  <si>
    <t>Φ=0.9</t>
  </si>
  <si>
    <t>ΦMn&gt;Mu</t>
  </si>
  <si>
    <t>© Gerald Craig 2009</t>
  </si>
  <si>
    <t>Weight</t>
  </si>
  <si>
    <t>pcf</t>
  </si>
  <si>
    <t>Wide Flange Shape</t>
  </si>
  <si>
    <t>Nom.</t>
  </si>
  <si>
    <t>Depth</t>
  </si>
  <si>
    <t>Slab</t>
  </si>
  <si>
    <t>Total</t>
  </si>
  <si>
    <t>Conc.</t>
  </si>
  <si>
    <t>Flexural Strength of Full Composite Action Wide Flange Beams</t>
  </si>
  <si>
    <r>
      <t>√(K</t>
    </r>
    <r>
      <rPr>
        <sz val="6"/>
        <rFont val="Times New Roman"/>
        <family val="1"/>
      </rPr>
      <t>LL</t>
    </r>
    <r>
      <rPr>
        <sz val="8"/>
        <rFont val="Times New Roman"/>
        <family val="1"/>
      </rPr>
      <t>A</t>
    </r>
    <r>
      <rPr>
        <sz val="6"/>
        <rFont val="Times New Roman"/>
        <family val="1"/>
      </rPr>
      <t>T)</t>
    </r>
  </si>
  <si>
    <t>≥ 0.5 (supporting one floor)</t>
  </si>
  <si>
    <t>Reduct</t>
  </si>
  <si>
    <r>
      <t>K</t>
    </r>
    <r>
      <rPr>
        <sz val="6"/>
        <rFont val="Times New Roman"/>
        <family val="1"/>
      </rPr>
      <t>LL</t>
    </r>
    <r>
      <rPr>
        <sz val="8"/>
        <rFont val="Times New Roman"/>
        <family val="1"/>
      </rPr>
      <t xml:space="preserve"> =</t>
    </r>
  </si>
  <si>
    <t>(for interior beams &amp; edge beams w/out cantilever slab)</t>
  </si>
  <si>
    <t>Super-</t>
  </si>
  <si>
    <t>Imposed</t>
  </si>
  <si>
    <t>Deck</t>
  </si>
  <si>
    <t>10 x</t>
  </si>
  <si>
    <t>Φ</t>
  </si>
  <si>
    <t>"Office" space designed @ 80psf on 2nd-8th floor (unknown locations of future corridors)</t>
  </si>
  <si>
    <t>"Office" space designed @ 100psf on 1st floor (unknown locations of future corridors)</t>
  </si>
  <si>
    <t>RF=0.25+</t>
  </si>
  <si>
    <t>"Office" space designed @ 125psf on 2nd floor (file storage, area defined on plans) *</t>
  </si>
  <si>
    <t>"Office" space designed @ 115psf on 9th-12th floor (100psf project specified, 15psf access flooring)</t>
  </si>
  <si>
    <t>Balconies designed @ 100psf</t>
  </si>
  <si>
    <t>w/</t>
  </si>
  <si>
    <t>reduct</t>
  </si>
  <si>
    <t>Wu</t>
  </si>
  <si>
    <t>Bm</t>
  </si>
  <si>
    <t>Const</t>
  </si>
  <si>
    <t>meter</t>
  </si>
  <si>
    <t>Peri-</t>
  </si>
  <si>
    <t>Notes</t>
  </si>
  <si>
    <t>v</t>
  </si>
  <si>
    <t>h / tw</t>
  </si>
  <si>
    <r>
      <t>k</t>
    </r>
    <r>
      <rPr>
        <sz val="6"/>
        <rFont val="Times New Roman"/>
        <family val="1"/>
      </rPr>
      <t>v</t>
    </r>
  </si>
  <si>
    <t>G2-3</t>
  </si>
  <si>
    <t>1.10√(kv*E / Fy) =</t>
  </si>
  <si>
    <t>1.37√(kv*E / Fy) =</t>
  </si>
  <si>
    <t>Cv</t>
  </si>
  <si>
    <t>Shear Strength</t>
  </si>
  <si>
    <t>1.2DL+</t>
  </si>
  <si>
    <t>1.4DL</t>
  </si>
  <si>
    <t>L/360</t>
  </si>
  <si>
    <t>A</t>
  </si>
  <si>
    <t>B</t>
  </si>
  <si>
    <t>C</t>
  </si>
  <si>
    <t>D</t>
  </si>
  <si>
    <t>E</t>
  </si>
  <si>
    <t>F</t>
  </si>
  <si>
    <t>Core</t>
  </si>
  <si>
    <t>G1</t>
  </si>
  <si>
    <t>G2</t>
  </si>
  <si>
    <t>16x</t>
  </si>
  <si>
    <t>12x</t>
  </si>
  <si>
    <t>P</t>
  </si>
  <si>
    <t>lb</t>
  </si>
  <si>
    <t>Concen.</t>
  </si>
  <si>
    <t>Pu</t>
  </si>
  <si>
    <t>H</t>
  </si>
  <si>
    <t>J</t>
  </si>
  <si>
    <t>NON COMPOSITE</t>
  </si>
  <si>
    <t>f</t>
  </si>
  <si>
    <t>Core Floor Beams</t>
  </si>
  <si>
    <t>↓↓↓↓↓↓↓↓↓↓↓↓↓↓↓↓↓↓↓↓↓↓↓↓↓↓↓↓↓↓↓↓↓↓↓↓</t>
  </si>
  <si>
    <t>w</t>
  </si>
  <si>
    <t>↓↓↓↓↓↓↓↓↓↓↓↓↓↓↓↓↓↓↓↓↓↓↓↓↓↓↓↓↓↓</t>
  </si>
  <si>
    <t>L/2</t>
  </si>
  <si>
    <t>Node</t>
  </si>
  <si>
    <t>0.85f'c</t>
  </si>
  <si>
    <r>
      <t>P</t>
    </r>
    <r>
      <rPr>
        <sz val="6"/>
        <rFont val="Times New Roman"/>
        <family val="1"/>
      </rPr>
      <t>D</t>
    </r>
  </si>
  <si>
    <r>
      <t>W</t>
    </r>
    <r>
      <rPr>
        <sz val="6"/>
        <rFont val="Times New Roman"/>
        <family val="1"/>
      </rPr>
      <t>D</t>
    </r>
  </si>
  <si>
    <r>
      <t>P</t>
    </r>
    <r>
      <rPr>
        <sz val="6"/>
        <rFont val="Times New Roman"/>
        <family val="1"/>
      </rPr>
      <t>L</t>
    </r>
  </si>
  <si>
    <r>
      <t>W</t>
    </r>
    <r>
      <rPr>
        <sz val="6"/>
        <rFont val="Times New Roman"/>
        <family val="1"/>
      </rPr>
      <t>L</t>
    </r>
  </si>
  <si>
    <t>*a*be</t>
  </si>
  <si>
    <t>Beam</t>
  </si>
  <si>
    <t>Super</t>
  </si>
  <si>
    <t>Self</t>
  </si>
  <si>
    <t>L/400</t>
  </si>
  <si>
    <t>Φ=1.0</t>
  </si>
  <si>
    <t>D1</t>
  </si>
  <si>
    <t>E1</t>
  </si>
  <si>
    <t>24 x</t>
  </si>
  <si>
    <t>21 x</t>
  </si>
  <si>
    <t>3-19</t>
  </si>
  <si>
    <t>3-20</t>
  </si>
  <si>
    <t>M'p = Mp - (0.7FySx)</t>
  </si>
  <si>
    <t>(λ - λp)</t>
  </si>
  <si>
    <t>(λr - λp)</t>
  </si>
  <si>
    <t>λ = h/tw</t>
  </si>
  <si>
    <t>λ = bf/2tf</t>
  </si>
  <si>
    <t>λp = 3.76 √(E/Fy)</t>
  </si>
  <si>
    <t>λp = 0.38 √(E/Fy)</t>
  </si>
  <si>
    <t>λr = 5.7 √(E/Fy)</t>
  </si>
  <si>
    <t>λr = 1.0 √(E/Fy)</t>
  </si>
  <si>
    <t>(for interior &amp; edge beams w/out cantilever slab ASCE 7-05 Table 4-2)</t>
  </si>
  <si>
    <t xml:space="preserve">Transfer Girders D1-E1, D7-E7 </t>
  </si>
  <si>
    <t>D1/7</t>
  </si>
  <si>
    <t>E17</t>
  </si>
  <si>
    <t>Interior Girders</t>
  </si>
  <si>
    <t>C2*</t>
  </si>
  <si>
    <t>C3*</t>
  </si>
  <si>
    <t>18 x</t>
  </si>
  <si>
    <t>C4*</t>
  </si>
  <si>
    <t>C5*</t>
  </si>
  <si>
    <t>C5</t>
  </si>
  <si>
    <t>C6</t>
  </si>
  <si>
    <t>14 x</t>
  </si>
  <si>
    <t>D5</t>
  </si>
  <si>
    <t>D7</t>
  </si>
  <si>
    <t>(D.5)1*</t>
  </si>
  <si>
    <t>(D.5)3*</t>
  </si>
  <si>
    <t>(D.5)5</t>
  </si>
  <si>
    <t>(D.5)7</t>
  </si>
  <si>
    <t>16 x</t>
  </si>
  <si>
    <t>E3</t>
  </si>
  <si>
    <t>E5</t>
  </si>
  <si>
    <t>E7</t>
  </si>
  <si>
    <t>F2</t>
  </si>
  <si>
    <t>F3</t>
  </si>
  <si>
    <t>F4</t>
  </si>
  <si>
    <t>F5</t>
  </si>
  <si>
    <t>F6</t>
  </si>
  <si>
    <t>"Office" space designed @ 115psf on 9th-12th (100psf project specified, 15psf access flooring)</t>
  </si>
  <si>
    <t>"Office" space designed @ 125psf on 2nd file storage, area defined on plans) *</t>
  </si>
  <si>
    <t>"Office" space designed @ 80psf on 2nd-8th (unknown corridor location)</t>
  </si>
  <si>
    <t>"Office" space designed @ 100psf on 1st (unknown corridor location)</t>
  </si>
  <si>
    <t>C2</t>
  </si>
  <si>
    <t>C3</t>
  </si>
  <si>
    <t>C4</t>
  </si>
  <si>
    <t>D3</t>
  </si>
  <si>
    <t>(D.5)1</t>
  </si>
  <si>
    <t>(D.5)3</t>
  </si>
  <si>
    <t xml:space="preserve">12th </t>
  </si>
  <si>
    <t>9th-11th</t>
  </si>
  <si>
    <t>2nd</t>
  </si>
  <si>
    <t>3rd-5th</t>
  </si>
  <si>
    <t>6th-8th</t>
  </si>
  <si>
    <t>Interior Floor Girders</t>
  </si>
  <si>
    <t>b</t>
  </si>
  <si>
    <t>Ma</t>
  </si>
  <si>
    <t>Mb</t>
  </si>
  <si>
    <t>Mc</t>
  </si>
  <si>
    <t>Md</t>
  </si>
  <si>
    <t>LL (P)</t>
  </si>
  <si>
    <t>RF</t>
  </si>
  <si>
    <t>w/ RF</t>
  </si>
  <si>
    <t>18x</t>
  </si>
  <si>
    <t>A3</t>
  </si>
  <si>
    <t>A5</t>
  </si>
  <si>
    <t>H3</t>
  </si>
  <si>
    <t>H5</t>
  </si>
  <si>
    <t>3rd - 5th</t>
  </si>
  <si>
    <t>9th - 11th</t>
  </si>
  <si>
    <t>12th</t>
  </si>
  <si>
    <t xml:space="preserve">2nd </t>
  </si>
  <si>
    <t>Interior Floor Beams</t>
  </si>
  <si>
    <t>Span</t>
  </si>
  <si>
    <t>Bay</t>
  </si>
  <si>
    <t>3, 4</t>
  </si>
  <si>
    <t>2*</t>
  </si>
  <si>
    <t>3,4*</t>
  </si>
  <si>
    <t>C-D, E-F</t>
  </si>
  <si>
    <t>12 x</t>
  </si>
  <si>
    <t>D-D.5,</t>
  </si>
  <si>
    <t>D.5-E</t>
  </si>
  <si>
    <t>Exterior Floor Girders</t>
  </si>
  <si>
    <t>B2</t>
  </si>
  <si>
    <t>B6</t>
  </si>
  <si>
    <t>G6</t>
  </si>
  <si>
    <t>D2</t>
  </si>
  <si>
    <t>E2</t>
  </si>
  <si>
    <t>C7</t>
  </si>
  <si>
    <t>F7</t>
  </si>
  <si>
    <t>B3</t>
  </si>
  <si>
    <t>G3</t>
  </si>
  <si>
    <t>B5</t>
  </si>
  <si>
    <t>G5</t>
  </si>
  <si>
    <t>A4</t>
  </si>
  <si>
    <t>H4</t>
  </si>
  <si>
    <t>8 x</t>
  </si>
  <si>
    <t xml:space="preserve">unbraced L = </t>
  </si>
  <si>
    <t>5'</t>
  </si>
  <si>
    <t>Non Composite</t>
  </si>
  <si>
    <t>D6</t>
  </si>
  <si>
    <t>E6</t>
  </si>
  <si>
    <t>14x</t>
  </si>
  <si>
    <t>Exterior Girders B2-B3, H2-H3,B5-B6,G5-G6</t>
  </si>
  <si>
    <t># Bms</t>
  </si>
  <si>
    <t>Roof</t>
  </si>
  <si>
    <t>(k)</t>
  </si>
  <si>
    <t>F5.5</t>
  </si>
  <si>
    <t>G5.5</t>
  </si>
  <si>
    <t>F2.5</t>
  </si>
  <si>
    <t>G2.5</t>
  </si>
  <si>
    <t>B5.5</t>
  </si>
  <si>
    <t>C5.5</t>
  </si>
  <si>
    <t>B2.5</t>
  </si>
  <si>
    <t>C2.5</t>
  </si>
  <si>
    <t>A-C, F-H</t>
  </si>
  <si>
    <t>B-C, F-G</t>
  </si>
  <si>
    <t>3,4</t>
  </si>
  <si>
    <t>2,5</t>
  </si>
  <si>
    <t>D1/D7</t>
  </si>
  <si>
    <t>E1/E7</t>
  </si>
  <si>
    <t>Per Floor Structural Steel DL =</t>
  </si>
  <si>
    <t># Beams</t>
  </si>
  <si>
    <t>D5/E5</t>
  </si>
  <si>
    <t>D7/E7</t>
  </si>
  <si>
    <t>D1*</t>
  </si>
  <si>
    <t>D3*</t>
  </si>
  <si>
    <t>F-H</t>
  </si>
  <si>
    <t>A-C</t>
  </si>
  <si>
    <t>B-C</t>
  </si>
  <si>
    <t>C-D</t>
  </si>
  <si>
    <t>E-F</t>
  </si>
  <si>
    <t>C-D. E-F</t>
  </si>
  <si>
    <t>D-D.5</t>
  </si>
  <si>
    <t>0.25 +</t>
  </si>
  <si>
    <t>RF =</t>
  </si>
  <si>
    <t>Strength</t>
  </si>
  <si>
    <t>Imp.</t>
  </si>
  <si>
    <t>Core Floor Beams (1 of 3)</t>
  </si>
  <si>
    <t>Core Floor Beams (2 of 3)</t>
  </si>
  <si>
    <t>Core Floor Beams (3 of 3)</t>
  </si>
  <si>
    <t>PD</t>
  </si>
  <si>
    <t>WD</t>
  </si>
  <si>
    <t>PL</t>
  </si>
  <si>
    <t>WL</t>
  </si>
  <si>
    <t>kv</t>
  </si>
  <si>
    <t>Set 1, p 1 of  3</t>
  </si>
  <si>
    <t>Set 1, p 2 of  3</t>
  </si>
  <si>
    <t>Set 1, p 3 of  3</t>
  </si>
  <si>
    <t>Set 2, p 1 of  3</t>
  </si>
  <si>
    <t>Set 2, p 2 of  3</t>
  </si>
  <si>
    <t>Set 2, p 3 of  3</t>
  </si>
  <si>
    <t>Set 3, p 1 of  3</t>
  </si>
  <si>
    <t>Set 3, p 2 of  3</t>
  </si>
  <si>
    <t>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</si>
</sst>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u val="single"/>
      <sz val="16"/>
      <name val="Times New Roman"/>
      <family val="1"/>
    </font>
    <font>
      <sz val="6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7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65" fontId="4" fillId="0" borderId="3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65" fontId="4" fillId="0" borderId="7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right"/>
    </xf>
    <xf numFmtId="0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4" fillId="2" borderId="12" xfId="0" applyNumberFormat="1" applyFont="1" applyFill="1" applyBorder="1" applyAlignment="1">
      <alignment/>
    </xf>
    <xf numFmtId="165" fontId="4" fillId="0" borderId="13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1" fontId="4" fillId="2" borderId="14" xfId="0" applyNumberFormat="1" applyFont="1" applyFill="1" applyBorder="1" applyAlignment="1">
      <alignment/>
    </xf>
    <xf numFmtId="164" fontId="4" fillId="2" borderId="15" xfId="0" applyNumberFormat="1" applyFont="1" applyFill="1" applyBorder="1" applyAlignment="1">
      <alignment/>
    </xf>
    <xf numFmtId="2" fontId="4" fillId="0" borderId="16" xfId="0" applyNumberFormat="1" applyFont="1" applyBorder="1" applyAlignment="1">
      <alignment/>
    </xf>
    <xf numFmtId="2" fontId="4" fillId="2" borderId="16" xfId="0" applyNumberFormat="1" applyFont="1" applyFill="1" applyBorder="1" applyAlignment="1">
      <alignment/>
    </xf>
    <xf numFmtId="165" fontId="4" fillId="0" borderId="17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165" fontId="4" fillId="0" borderId="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165" fontId="4" fillId="2" borderId="15" xfId="0" applyNumberFormat="1" applyFont="1" applyFill="1" applyBorder="1" applyAlignment="1">
      <alignment/>
    </xf>
    <xf numFmtId="165" fontId="4" fillId="2" borderId="16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2" borderId="25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25" xfId="0" applyFont="1" applyBorder="1" applyAlignment="1">
      <alignment/>
    </xf>
    <xf numFmtId="2" fontId="4" fillId="2" borderId="15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/>
    </xf>
    <xf numFmtId="2" fontId="4" fillId="0" borderId="8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4" fillId="0" borderId="32" xfId="0" applyNumberFormat="1" applyFont="1" applyBorder="1" applyAlignment="1">
      <alignment/>
    </xf>
    <xf numFmtId="165" fontId="4" fillId="0" borderId="27" xfId="0" applyNumberFormat="1" applyFont="1" applyBorder="1" applyAlignment="1">
      <alignment/>
    </xf>
    <xf numFmtId="2" fontId="4" fillId="2" borderId="32" xfId="0" applyNumberFormat="1" applyFont="1" applyFill="1" applyBorder="1" applyAlignment="1">
      <alignment/>
    </xf>
    <xf numFmtId="1" fontId="4" fillId="2" borderId="26" xfId="0" applyNumberFormat="1" applyFont="1" applyFill="1" applyBorder="1" applyAlignment="1">
      <alignment/>
    </xf>
    <xf numFmtId="164" fontId="4" fillId="2" borderId="33" xfId="0" applyNumberFormat="1" applyFont="1" applyFill="1" applyBorder="1" applyAlignment="1">
      <alignment/>
    </xf>
    <xf numFmtId="165" fontId="4" fillId="2" borderId="32" xfId="0" applyNumberFormat="1" applyFont="1" applyFill="1" applyBorder="1" applyAlignment="1">
      <alignment/>
    </xf>
    <xf numFmtId="165" fontId="4" fillId="2" borderId="33" xfId="0" applyNumberFormat="1" applyFont="1" applyFill="1" applyBorder="1" applyAlignment="1">
      <alignment/>
    </xf>
    <xf numFmtId="0" fontId="4" fillId="0" borderId="33" xfId="0" applyFont="1" applyBorder="1" applyAlignment="1">
      <alignment/>
    </xf>
    <xf numFmtId="2" fontId="4" fillId="2" borderId="33" xfId="0" applyNumberFormat="1" applyFont="1" applyFill="1" applyBorder="1" applyAlignment="1">
      <alignment/>
    </xf>
    <xf numFmtId="0" fontId="4" fillId="3" borderId="3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2" fontId="5" fillId="0" borderId="0" xfId="0" applyNumberFormat="1" applyFont="1" applyFill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38" xfId="0" applyFont="1" applyBorder="1" applyAlignment="1">
      <alignment/>
    </xf>
    <xf numFmtId="2" fontId="4" fillId="0" borderId="40" xfId="0" applyNumberFormat="1" applyFont="1" applyBorder="1" applyAlignment="1">
      <alignment/>
    </xf>
    <xf numFmtId="165" fontId="4" fillId="0" borderId="38" xfId="0" applyNumberFormat="1" applyFont="1" applyBorder="1" applyAlignment="1">
      <alignment/>
    </xf>
    <xf numFmtId="2" fontId="4" fillId="2" borderId="35" xfId="0" applyNumberFormat="1" applyFont="1" applyFill="1" applyBorder="1" applyAlignment="1">
      <alignment/>
    </xf>
    <xf numFmtId="165" fontId="4" fillId="2" borderId="41" xfId="0" applyNumberFormat="1" applyFont="1" applyFill="1" applyBorder="1" applyAlignment="1">
      <alignment/>
    </xf>
    <xf numFmtId="165" fontId="4" fillId="2" borderId="42" xfId="0" applyNumberFormat="1" applyFont="1" applyFill="1" applyBorder="1" applyAlignment="1">
      <alignment/>
    </xf>
    <xf numFmtId="1" fontId="4" fillId="2" borderId="39" xfId="0" applyNumberFormat="1" applyFont="1" applyFill="1" applyBorder="1" applyAlignment="1">
      <alignment/>
    </xf>
    <xf numFmtId="165" fontId="4" fillId="2" borderId="40" xfId="0" applyNumberFormat="1" applyFont="1" applyFill="1" applyBorder="1" applyAlignment="1">
      <alignment/>
    </xf>
    <xf numFmtId="2" fontId="4" fillId="2" borderId="40" xfId="0" applyNumberFormat="1" applyFont="1" applyFill="1" applyBorder="1" applyAlignment="1">
      <alignment/>
    </xf>
    <xf numFmtId="165" fontId="4" fillId="0" borderId="43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2" fontId="4" fillId="2" borderId="44" xfId="0" applyNumberFormat="1" applyFont="1" applyFill="1" applyBorder="1" applyAlignment="1">
      <alignment/>
    </xf>
    <xf numFmtId="165" fontId="4" fillId="2" borderId="16" xfId="0" applyNumberFormat="1" applyFont="1" applyFill="1" applyBorder="1" applyAlignment="1">
      <alignment horizontal="right"/>
    </xf>
    <xf numFmtId="2" fontId="4" fillId="2" borderId="37" xfId="0" applyNumberFormat="1" applyFont="1" applyFill="1" applyBorder="1" applyAlignment="1">
      <alignment/>
    </xf>
    <xf numFmtId="165" fontId="4" fillId="2" borderId="45" xfId="0" applyNumberFormat="1" applyFont="1" applyFill="1" applyBorder="1" applyAlignment="1">
      <alignment/>
    </xf>
    <xf numFmtId="0" fontId="4" fillId="0" borderId="42" xfId="0" applyFont="1" applyBorder="1" applyAlignment="1">
      <alignment horizontal="center"/>
    </xf>
    <xf numFmtId="164" fontId="4" fillId="0" borderId="40" xfId="0" applyNumberFormat="1" applyFont="1" applyBorder="1" applyAlignment="1">
      <alignment/>
    </xf>
    <xf numFmtId="164" fontId="4" fillId="2" borderId="44" xfId="0" applyNumberFormat="1" applyFont="1" applyFill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165" fontId="4" fillId="2" borderId="46" xfId="0" applyNumberFormat="1" applyFont="1" applyFill="1" applyBorder="1" applyAlignment="1">
      <alignment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/>
    </xf>
    <xf numFmtId="0" fontId="4" fillId="0" borderId="41" xfId="0" applyFont="1" applyBorder="1" applyAlignment="1">
      <alignment horizontal="center"/>
    </xf>
    <xf numFmtId="2" fontId="4" fillId="2" borderId="8" xfId="0" applyNumberFormat="1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165" fontId="4" fillId="2" borderId="25" xfId="0" applyNumberFormat="1" applyFont="1" applyFill="1" applyBorder="1" applyAlignment="1">
      <alignment/>
    </xf>
    <xf numFmtId="165" fontId="4" fillId="2" borderId="44" xfId="0" applyNumberFormat="1" applyFont="1" applyFill="1" applyBorder="1" applyAlignment="1">
      <alignment/>
    </xf>
    <xf numFmtId="2" fontId="4" fillId="2" borderId="36" xfId="0" applyNumberFormat="1" applyFont="1" applyFill="1" applyBorder="1" applyAlignment="1">
      <alignment/>
    </xf>
    <xf numFmtId="2" fontId="4" fillId="2" borderId="46" xfId="0" applyNumberFormat="1" applyFont="1" applyFill="1" applyBorder="1" applyAlignment="1">
      <alignment/>
    </xf>
    <xf numFmtId="2" fontId="4" fillId="2" borderId="45" xfId="0" applyNumberFormat="1" applyFont="1" applyFill="1" applyBorder="1" applyAlignment="1">
      <alignment/>
    </xf>
    <xf numFmtId="165" fontId="4" fillId="2" borderId="40" xfId="0" applyNumberFormat="1" applyFont="1" applyFill="1" applyBorder="1" applyAlignment="1">
      <alignment horizontal="right"/>
    </xf>
    <xf numFmtId="0" fontId="4" fillId="0" borderId="49" xfId="0" applyFont="1" applyBorder="1" applyAlignment="1">
      <alignment/>
    </xf>
    <xf numFmtId="0" fontId="4" fillId="0" borderId="31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50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4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2" fontId="4" fillId="2" borderId="4" xfId="0" applyNumberFormat="1" applyFont="1" applyFill="1" applyBorder="1" applyAlignment="1">
      <alignment/>
    </xf>
    <xf numFmtId="165" fontId="4" fillId="2" borderId="4" xfId="0" applyNumberFormat="1" applyFont="1" applyFill="1" applyBorder="1" applyAlignment="1">
      <alignment/>
    </xf>
    <xf numFmtId="165" fontId="4" fillId="2" borderId="4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/>
    </xf>
    <xf numFmtId="1" fontId="4" fillId="2" borderId="18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/>
    </xf>
    <xf numFmtId="164" fontId="4" fillId="2" borderId="11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" fontId="4" fillId="0" borderId="12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2" fontId="4" fillId="2" borderId="16" xfId="0" applyNumberFormat="1" applyFont="1" applyFill="1" applyBorder="1" applyAlignment="1">
      <alignment horizontal="right"/>
    </xf>
    <xf numFmtId="2" fontId="4" fillId="2" borderId="40" xfId="0" applyNumberFormat="1" applyFont="1" applyFill="1" applyBorder="1" applyAlignment="1">
      <alignment horizontal="right"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 horizontal="right"/>
    </xf>
    <xf numFmtId="0" fontId="4" fillId="0" borderId="49" xfId="0" applyFont="1" applyBorder="1" applyAlignment="1">
      <alignment horizontal="right"/>
    </xf>
    <xf numFmtId="2" fontId="4" fillId="2" borderId="41" xfId="0" applyNumberFormat="1" applyFont="1" applyFill="1" applyBorder="1" applyAlignment="1">
      <alignment/>
    </xf>
    <xf numFmtId="0" fontId="4" fillId="0" borderId="53" xfId="0" applyFont="1" applyBorder="1" applyAlignment="1">
      <alignment/>
    </xf>
    <xf numFmtId="2" fontId="4" fillId="2" borderId="42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21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5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2" fontId="4" fillId="0" borderId="1" xfId="0" applyNumberFormat="1" applyFont="1" applyFill="1" applyBorder="1" applyAlignment="1">
      <alignment/>
    </xf>
    <xf numFmtId="165" fontId="4" fillId="0" borderId="7" xfId="0" applyNumberFormat="1" applyFont="1" applyBorder="1" applyAlignment="1">
      <alignment/>
    </xf>
    <xf numFmtId="165" fontId="4" fillId="0" borderId="40" xfId="0" applyNumberFormat="1" applyFont="1" applyBorder="1" applyAlignment="1">
      <alignment/>
    </xf>
    <xf numFmtId="0" fontId="4" fillId="0" borderId="56" xfId="0" applyFont="1" applyFill="1" applyBorder="1" applyAlignment="1">
      <alignment horizontal="center"/>
    </xf>
    <xf numFmtId="165" fontId="4" fillId="0" borderId="32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165" fontId="4" fillId="0" borderId="4" xfId="0" applyNumberFormat="1" applyFont="1" applyFill="1" applyBorder="1" applyAlignment="1">
      <alignment/>
    </xf>
    <xf numFmtId="165" fontId="4" fillId="0" borderId="33" xfId="0" applyNumberFormat="1" applyFont="1" applyFill="1" applyBorder="1" applyAlignment="1">
      <alignment/>
    </xf>
    <xf numFmtId="2" fontId="4" fillId="0" borderId="8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2" fontId="4" fillId="0" borderId="32" xfId="0" applyNumberFormat="1" applyFont="1" applyFill="1" applyBorder="1" applyAlignment="1">
      <alignment/>
    </xf>
    <xf numFmtId="2" fontId="4" fillId="0" borderId="45" xfId="0" applyNumberFormat="1" applyFont="1" applyFill="1" applyBorder="1" applyAlignment="1">
      <alignment/>
    </xf>
    <xf numFmtId="165" fontId="4" fillId="0" borderId="27" xfId="0" applyNumberFormat="1" applyFont="1" applyFill="1" applyBorder="1" applyAlignment="1">
      <alignment/>
    </xf>
    <xf numFmtId="165" fontId="4" fillId="0" borderId="32" xfId="0" applyNumberFormat="1" applyFont="1" applyFill="1" applyBorder="1" applyAlignment="1">
      <alignment horizontal="right"/>
    </xf>
    <xf numFmtId="165" fontId="4" fillId="0" borderId="45" xfId="0" applyNumberFormat="1" applyFont="1" applyFill="1" applyBorder="1" applyAlignment="1">
      <alignment/>
    </xf>
    <xf numFmtId="165" fontId="4" fillId="0" borderId="26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2" fontId="4" fillId="0" borderId="29" xfId="0" applyNumberFormat="1" applyFont="1" applyBorder="1" applyAlignment="1">
      <alignment/>
    </xf>
    <xf numFmtId="2" fontId="4" fillId="2" borderId="4" xfId="0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>
      <alignment/>
    </xf>
    <xf numFmtId="2" fontId="4" fillId="0" borderId="34" xfId="0" applyNumberFormat="1" applyFont="1" applyFill="1" applyBorder="1" applyAlignment="1">
      <alignment/>
    </xf>
    <xf numFmtId="2" fontId="4" fillId="2" borderId="34" xfId="0" applyNumberFormat="1" applyFont="1" applyFill="1" applyBorder="1" applyAlignment="1">
      <alignment/>
    </xf>
    <xf numFmtId="2" fontId="4" fillId="0" borderId="57" xfId="0" applyNumberFormat="1" applyFont="1" applyFill="1" applyBorder="1" applyAlignment="1">
      <alignment/>
    </xf>
    <xf numFmtId="165" fontId="4" fillId="2" borderId="17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165" fontId="4" fillId="0" borderId="8" xfId="0" applyNumberFormat="1" applyFont="1" applyFill="1" applyBorder="1" applyAlignment="1">
      <alignment horizontal="right"/>
    </xf>
    <xf numFmtId="2" fontId="4" fillId="2" borderId="8" xfId="0" applyNumberFormat="1" applyFont="1" applyFill="1" applyBorder="1" applyAlignment="1">
      <alignment horizontal="right"/>
    </xf>
    <xf numFmtId="2" fontId="4" fillId="0" borderId="8" xfId="0" applyNumberFormat="1" applyFont="1" applyFill="1" applyBorder="1" applyAlignment="1">
      <alignment horizontal="right"/>
    </xf>
    <xf numFmtId="0" fontId="4" fillId="0" borderId="43" xfId="0" applyFont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165" fontId="4" fillId="0" borderId="5" xfId="0" applyNumberFormat="1" applyFont="1" applyBorder="1" applyAlignment="1">
      <alignment/>
    </xf>
    <xf numFmtId="165" fontId="4" fillId="2" borderId="43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164" fontId="4" fillId="0" borderId="29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43" xfId="0" applyFont="1" applyBorder="1" applyAlignment="1">
      <alignment/>
    </xf>
    <xf numFmtId="1" fontId="4" fillId="0" borderId="7" xfId="0" applyNumberFormat="1" applyFont="1" applyFill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9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right"/>
    </xf>
    <xf numFmtId="165" fontId="4" fillId="2" borderId="13" xfId="0" applyNumberFormat="1" applyFont="1" applyFill="1" applyBorder="1" applyAlignment="1">
      <alignment/>
    </xf>
    <xf numFmtId="165" fontId="4" fillId="2" borderId="27" xfId="0" applyNumberFormat="1" applyFont="1" applyFill="1" applyBorder="1" applyAlignment="1">
      <alignment/>
    </xf>
    <xf numFmtId="164" fontId="4" fillId="2" borderId="12" xfId="0" applyNumberFormat="1" applyFont="1" applyFill="1" applyBorder="1" applyAlignment="1">
      <alignment/>
    </xf>
    <xf numFmtId="164" fontId="4" fillId="2" borderId="32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2" borderId="4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0" borderId="38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" fontId="4" fillId="0" borderId="26" xfId="0" applyNumberFormat="1" applyFont="1" applyBorder="1" applyAlignment="1">
      <alignment/>
    </xf>
    <xf numFmtId="1" fontId="4" fillId="0" borderId="8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/>
    </xf>
    <xf numFmtId="165" fontId="4" fillId="2" borderId="8" xfId="0" applyNumberFormat="1" applyFont="1" applyFill="1" applyBorder="1" applyAlignment="1">
      <alignment/>
    </xf>
    <xf numFmtId="165" fontId="4" fillId="2" borderId="8" xfId="0" applyNumberFormat="1" applyFont="1" applyFill="1" applyBorder="1" applyAlignment="1">
      <alignment horizontal="right"/>
    </xf>
    <xf numFmtId="0" fontId="4" fillId="0" borderId="34" xfId="0" applyFont="1" applyBorder="1" applyAlignment="1">
      <alignment/>
    </xf>
    <xf numFmtId="165" fontId="4" fillId="2" borderId="18" xfId="0" applyNumberFormat="1" applyFont="1" applyFill="1" applyBorder="1" applyAlignment="1">
      <alignment/>
    </xf>
    <xf numFmtId="164" fontId="4" fillId="2" borderId="18" xfId="0" applyNumberFormat="1" applyFont="1" applyFill="1" applyBorder="1" applyAlignment="1">
      <alignment/>
    </xf>
    <xf numFmtId="2" fontId="4" fillId="2" borderId="17" xfId="0" applyNumberFormat="1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165" fontId="4" fillId="2" borderId="17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165" fontId="4" fillId="0" borderId="43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/>
    </xf>
    <xf numFmtId="165" fontId="4" fillId="0" borderId="40" xfId="0" applyNumberFormat="1" applyFont="1" applyFill="1" applyBorder="1" applyAlignment="1">
      <alignment/>
    </xf>
    <xf numFmtId="165" fontId="4" fillId="0" borderId="40" xfId="0" applyNumberFormat="1" applyFont="1" applyFill="1" applyBorder="1" applyAlignment="1">
      <alignment horizontal="right"/>
    </xf>
    <xf numFmtId="0" fontId="4" fillId="0" borderId="42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2" fontId="7" fillId="0" borderId="47" xfId="0" applyNumberFormat="1" applyFont="1" applyFill="1" applyBorder="1" applyAlignment="1">
      <alignment horizontal="left"/>
    </xf>
    <xf numFmtId="1" fontId="4" fillId="0" borderId="7" xfId="0" applyNumberFormat="1" applyFont="1" applyBorder="1" applyAlignment="1">
      <alignment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1" xfId="0" applyFont="1" applyBorder="1" applyAlignment="1">
      <alignment horizontal="center"/>
    </xf>
    <xf numFmtId="0" fontId="4" fillId="0" borderId="62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4" fillId="0" borderId="24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2" borderId="14" xfId="0" applyNumberFormat="1" applyFont="1" applyFill="1" applyBorder="1" applyAlignment="1">
      <alignment/>
    </xf>
    <xf numFmtId="165" fontId="4" fillId="2" borderId="12" xfId="0" applyNumberFormat="1" applyFont="1" applyFill="1" applyBorder="1" applyAlignment="1">
      <alignment/>
    </xf>
    <xf numFmtId="164" fontId="4" fillId="2" borderId="14" xfId="0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/>
    </xf>
    <xf numFmtId="0" fontId="4" fillId="3" borderId="64" xfId="0" applyFont="1" applyFill="1" applyBorder="1" applyAlignment="1">
      <alignment horizontal="center"/>
    </xf>
    <xf numFmtId="2" fontId="4" fillId="2" borderId="64" xfId="0" applyNumberFormat="1" applyFont="1" applyFill="1" applyBorder="1" applyAlignment="1">
      <alignment/>
    </xf>
    <xf numFmtId="0" fontId="4" fillId="0" borderId="32" xfId="0" applyFont="1" applyBorder="1" applyAlignment="1">
      <alignment horizontal="center"/>
    </xf>
    <xf numFmtId="164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65" fontId="4" fillId="2" borderId="26" xfId="0" applyNumberFormat="1" applyFont="1" applyFill="1" applyBorder="1" applyAlignment="1">
      <alignment/>
    </xf>
    <xf numFmtId="0" fontId="4" fillId="3" borderId="5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164" fontId="4" fillId="2" borderId="26" xfId="0" applyNumberFormat="1" applyFont="1" applyFill="1" applyBorder="1" applyAlignment="1">
      <alignment/>
    </xf>
    <xf numFmtId="2" fontId="4" fillId="2" borderId="27" xfId="0" applyNumberFormat="1" applyFont="1" applyFill="1" applyBorder="1" applyAlignment="1">
      <alignment/>
    </xf>
    <xf numFmtId="2" fontId="4" fillId="2" borderId="54" xfId="0" applyNumberFormat="1" applyFont="1" applyFill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5" fontId="4" fillId="2" borderId="11" xfId="0" applyNumberFormat="1" applyFont="1" applyFill="1" applyBorder="1" applyAlignment="1">
      <alignment/>
    </xf>
    <xf numFmtId="165" fontId="4" fillId="0" borderId="2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/>
    </xf>
    <xf numFmtId="0" fontId="4" fillId="3" borderId="22" xfId="0" applyFont="1" applyFill="1" applyBorder="1" applyAlignment="1">
      <alignment horizontal="center"/>
    </xf>
    <xf numFmtId="165" fontId="4" fillId="2" borderId="39" xfId="0" applyNumberFormat="1" applyFont="1" applyFill="1" applyBorder="1" applyAlignment="1">
      <alignment/>
    </xf>
    <xf numFmtId="164" fontId="4" fillId="2" borderId="39" xfId="0" applyNumberFormat="1" applyFont="1" applyFill="1" applyBorder="1" applyAlignment="1">
      <alignment/>
    </xf>
    <xf numFmtId="2" fontId="4" fillId="2" borderId="43" xfId="0" applyNumberFormat="1" applyFont="1" applyFill="1" applyBorder="1" applyAlignment="1">
      <alignment/>
    </xf>
    <xf numFmtId="2" fontId="4" fillId="2" borderId="65" xfId="0" applyNumberFormat="1" applyFont="1" applyFill="1" applyBorder="1" applyAlignment="1">
      <alignment/>
    </xf>
    <xf numFmtId="0" fontId="4" fillId="3" borderId="65" xfId="0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 quotePrefix="1">
      <alignment/>
    </xf>
    <xf numFmtId="0" fontId="4" fillId="0" borderId="0" xfId="0" applyFont="1" applyFill="1" applyBorder="1" applyAlignment="1" quotePrefix="1">
      <alignment/>
    </xf>
    <xf numFmtId="0" fontId="4" fillId="4" borderId="56" xfId="0" applyFont="1" applyFill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2" fontId="4" fillId="0" borderId="57" xfId="0" applyNumberFormat="1" applyFont="1" applyBorder="1" applyAlignment="1">
      <alignment/>
    </xf>
    <xf numFmtId="164" fontId="4" fillId="0" borderId="57" xfId="0" applyNumberFormat="1" applyFont="1" applyBorder="1" applyAlignment="1">
      <alignment/>
    </xf>
    <xf numFmtId="0" fontId="4" fillId="0" borderId="57" xfId="0" applyFont="1" applyBorder="1" applyAlignment="1">
      <alignment/>
    </xf>
    <xf numFmtId="165" fontId="4" fillId="0" borderId="59" xfId="0" applyNumberFormat="1" applyFont="1" applyBorder="1" applyAlignment="1">
      <alignment/>
    </xf>
    <xf numFmtId="2" fontId="4" fillId="2" borderId="57" xfId="0" applyNumberFormat="1" applyFont="1" applyFill="1" applyBorder="1" applyAlignment="1">
      <alignment/>
    </xf>
    <xf numFmtId="165" fontId="4" fillId="2" borderId="38" xfId="0" applyNumberFormat="1" applyFont="1" applyFill="1" applyBorder="1" applyAlignment="1">
      <alignment/>
    </xf>
    <xf numFmtId="164" fontId="4" fillId="2" borderId="58" xfId="0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/>
    </xf>
    <xf numFmtId="165" fontId="4" fillId="2" borderId="66" xfId="0" applyNumberFormat="1" applyFont="1" applyFill="1" applyBorder="1" applyAlignment="1">
      <alignment/>
    </xf>
    <xf numFmtId="165" fontId="4" fillId="2" borderId="58" xfId="0" applyNumberFormat="1" applyFont="1" applyFill="1" applyBorder="1" applyAlignment="1">
      <alignment/>
    </xf>
    <xf numFmtId="165" fontId="4" fillId="0" borderId="56" xfId="0" applyNumberFormat="1" applyFont="1" applyBorder="1" applyAlignment="1">
      <alignment/>
    </xf>
    <xf numFmtId="165" fontId="4" fillId="0" borderId="57" xfId="0" applyNumberFormat="1" applyFont="1" applyBorder="1" applyAlignment="1">
      <alignment/>
    </xf>
    <xf numFmtId="165" fontId="4" fillId="2" borderId="66" xfId="0" applyNumberFormat="1" applyFont="1" applyFill="1" applyBorder="1" applyAlignment="1">
      <alignment horizontal="right"/>
    </xf>
    <xf numFmtId="165" fontId="4" fillId="2" borderId="59" xfId="0" applyNumberFormat="1" applyFont="1" applyFill="1" applyBorder="1" applyAlignment="1">
      <alignment horizontal="right"/>
    </xf>
    <xf numFmtId="165" fontId="4" fillId="0" borderId="59" xfId="0" applyNumberFormat="1" applyFont="1" applyFill="1" applyBorder="1" applyAlignment="1">
      <alignment horizontal="right"/>
    </xf>
    <xf numFmtId="165" fontId="4" fillId="0" borderId="58" xfId="0" applyNumberFormat="1" applyFont="1" applyFill="1" applyBorder="1" applyAlignment="1">
      <alignment horizontal="right"/>
    </xf>
    <xf numFmtId="165" fontId="4" fillId="2" borderId="48" xfId="0" applyNumberFormat="1" applyFont="1" applyFill="1" applyBorder="1" applyAlignment="1">
      <alignment horizontal="right"/>
    </xf>
    <xf numFmtId="165" fontId="4" fillId="0" borderId="66" xfId="0" applyNumberFormat="1" applyFont="1" applyFill="1" applyBorder="1" applyAlignment="1">
      <alignment horizontal="right"/>
    </xf>
    <xf numFmtId="0" fontId="4" fillId="3" borderId="48" xfId="0" applyFont="1" applyFill="1" applyBorder="1" applyAlignment="1">
      <alignment horizontal="center"/>
    </xf>
    <xf numFmtId="165" fontId="4" fillId="2" borderId="56" xfId="0" applyNumberFormat="1" applyFont="1" applyFill="1" applyBorder="1" applyAlignment="1">
      <alignment/>
    </xf>
    <xf numFmtId="165" fontId="4" fillId="2" borderId="57" xfId="0" applyNumberFormat="1" applyFont="1" applyFill="1" applyBorder="1" applyAlignment="1">
      <alignment/>
    </xf>
    <xf numFmtId="2" fontId="4" fillId="2" borderId="58" xfId="0" applyNumberFormat="1" applyFont="1" applyFill="1" applyBorder="1" applyAlignment="1">
      <alignment/>
    </xf>
    <xf numFmtId="0" fontId="4" fillId="0" borderId="66" xfId="0" applyFont="1" applyBorder="1" applyAlignment="1">
      <alignment/>
    </xf>
    <xf numFmtId="0" fontId="4" fillId="0" borderId="56" xfId="0" applyFont="1" applyBorder="1" applyAlignment="1">
      <alignment/>
    </xf>
    <xf numFmtId="164" fontId="4" fillId="2" borderId="38" xfId="0" applyNumberFormat="1" applyFont="1" applyFill="1" applyBorder="1" applyAlignment="1">
      <alignment/>
    </xf>
    <xf numFmtId="0" fontId="4" fillId="0" borderId="58" xfId="0" applyFont="1" applyBorder="1" applyAlignment="1">
      <alignment/>
    </xf>
    <xf numFmtId="2" fontId="4" fillId="2" borderId="59" xfId="0" applyNumberFormat="1" applyFont="1" applyFill="1" applyBorder="1" applyAlignment="1">
      <alignment/>
    </xf>
    <xf numFmtId="2" fontId="4" fillId="2" borderId="48" xfId="0" applyNumberFormat="1" applyFont="1" applyFill="1" applyBorder="1" applyAlignment="1">
      <alignment/>
    </xf>
    <xf numFmtId="0" fontId="4" fillId="3" borderId="66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right"/>
    </xf>
    <xf numFmtId="0" fontId="4" fillId="0" borderId="45" xfId="0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right"/>
    </xf>
    <xf numFmtId="0" fontId="4" fillId="0" borderId="46" xfId="0" applyFont="1" applyFill="1" applyBorder="1" applyAlignment="1">
      <alignment horizontal="center"/>
    </xf>
    <xf numFmtId="2" fontId="4" fillId="2" borderId="29" xfId="0" applyNumberFormat="1" applyFont="1" applyFill="1" applyBorder="1" applyAlignment="1">
      <alignment horizontal="right"/>
    </xf>
    <xf numFmtId="0" fontId="4" fillId="0" borderId="67" xfId="0" applyFont="1" applyBorder="1" applyAlignment="1">
      <alignment/>
    </xf>
    <xf numFmtId="165" fontId="4" fillId="0" borderId="30" xfId="0" applyNumberFormat="1" applyFont="1" applyBorder="1" applyAlignment="1">
      <alignment/>
    </xf>
    <xf numFmtId="1" fontId="4" fillId="2" borderId="17" xfId="0" applyNumberFormat="1" applyFont="1" applyFill="1" applyBorder="1" applyAlignment="1">
      <alignment/>
    </xf>
    <xf numFmtId="0" fontId="4" fillId="0" borderId="64" xfId="0" applyFont="1" applyBorder="1" applyAlignment="1">
      <alignment/>
    </xf>
    <xf numFmtId="2" fontId="4" fillId="2" borderId="21" xfId="0" applyNumberFormat="1" applyFont="1" applyFill="1" applyBorder="1" applyAlignment="1">
      <alignment/>
    </xf>
    <xf numFmtId="0" fontId="4" fillId="3" borderId="21" xfId="0" applyFont="1" applyFill="1" applyBorder="1" applyAlignment="1">
      <alignment horizontal="center"/>
    </xf>
    <xf numFmtId="165" fontId="4" fillId="2" borderId="49" xfId="0" applyNumberFormat="1" applyFont="1" applyFill="1" applyBorder="1" applyAlignment="1">
      <alignment/>
    </xf>
    <xf numFmtId="165" fontId="4" fillId="0" borderId="1" xfId="0" applyNumberFormat="1" applyFont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" borderId="20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2" fontId="4" fillId="2" borderId="22" xfId="0" applyNumberFormat="1" applyFont="1" applyFill="1" applyBorder="1" applyAlignment="1">
      <alignment/>
    </xf>
    <xf numFmtId="2" fontId="4" fillId="2" borderId="31" xfId="0" applyNumberFormat="1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4" fillId="2" borderId="1" xfId="0" applyNumberFormat="1" applyFont="1" applyFill="1" applyBorder="1" applyAlignment="1">
      <alignment horizontal="right"/>
    </xf>
    <xf numFmtId="165" fontId="4" fillId="2" borderId="31" xfId="0" applyNumberFormat="1" applyFont="1" applyFill="1" applyBorder="1" applyAlignment="1">
      <alignment/>
    </xf>
    <xf numFmtId="165" fontId="4" fillId="2" borderId="10" xfId="0" applyNumberFormat="1" applyFont="1" applyFill="1" applyBorder="1" applyAlignment="1">
      <alignment/>
    </xf>
    <xf numFmtId="2" fontId="4" fillId="2" borderId="11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31" xfId="0" applyFont="1" applyBorder="1" applyAlignment="1">
      <alignment/>
    </xf>
    <xf numFmtId="164" fontId="4" fillId="2" borderId="10" xfId="0" applyNumberFormat="1" applyFont="1" applyFill="1" applyBorder="1" applyAlignment="1">
      <alignment/>
    </xf>
    <xf numFmtId="2" fontId="4" fillId="2" borderId="24" xfId="0" applyNumberFormat="1" applyFont="1" applyFill="1" applyBorder="1" applyAlignment="1">
      <alignment/>
    </xf>
    <xf numFmtId="0" fontId="4" fillId="3" borderId="24" xfId="0" applyFont="1" applyFill="1" applyBorder="1" applyAlignment="1">
      <alignment horizontal="center"/>
    </xf>
    <xf numFmtId="165" fontId="4" fillId="0" borderId="38" xfId="0" applyNumberFormat="1" applyFont="1" applyFill="1" applyBorder="1" applyAlignment="1">
      <alignment/>
    </xf>
    <xf numFmtId="1" fontId="4" fillId="0" borderId="38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1" fontId="4" fillId="0" borderId="32" xfId="0" applyNumberFormat="1" applyFont="1" applyBorder="1" applyAlignment="1">
      <alignment/>
    </xf>
    <xf numFmtId="2" fontId="4" fillId="2" borderId="32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/>
    </xf>
    <xf numFmtId="1" fontId="4" fillId="0" borderId="1" xfId="0" applyNumberFormat="1" applyFont="1" applyBorder="1" applyAlignment="1">
      <alignment/>
    </xf>
    <xf numFmtId="2" fontId="4" fillId="0" borderId="32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/>
    </xf>
    <xf numFmtId="0" fontId="4" fillId="0" borderId="51" xfId="0" applyFont="1" applyBorder="1" applyAlignment="1">
      <alignment horizontal="center"/>
    </xf>
    <xf numFmtId="2" fontId="4" fillId="2" borderId="23" xfId="0" applyNumberFormat="1" applyFont="1" applyFill="1" applyBorder="1" applyAlignment="1">
      <alignment/>
    </xf>
    <xf numFmtId="2" fontId="4" fillId="2" borderId="68" xfId="0" applyNumberFormat="1" applyFont="1" applyFill="1" applyBorder="1" applyAlignment="1">
      <alignment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2" fontId="4" fillId="0" borderId="40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52" xfId="0" applyFont="1" applyFill="1" applyBorder="1" applyAlignment="1">
      <alignment horizontal="center"/>
    </xf>
    <xf numFmtId="165" fontId="4" fillId="0" borderId="3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7" xfId="0" applyFont="1" applyFill="1" applyBorder="1" applyAlignment="1">
      <alignment horizontal="left"/>
    </xf>
    <xf numFmtId="0" fontId="4" fillId="0" borderId="48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5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38" xfId="0" applyFont="1" applyBorder="1" applyAlignment="1">
      <alignment horizontal="left"/>
    </xf>
    <xf numFmtId="165" fontId="4" fillId="0" borderId="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5" fontId="4" fillId="0" borderId="12" xfId="0" applyNumberFormat="1" applyFont="1" applyFill="1" applyBorder="1" applyAlignment="1">
      <alignment/>
    </xf>
    <xf numFmtId="165" fontId="4" fillId="0" borderId="16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69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" fontId="4" fillId="0" borderId="10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1" fontId="4" fillId="0" borderId="8" xfId="0" applyNumberFormat="1" applyFont="1" applyBorder="1" applyAlignment="1">
      <alignment/>
    </xf>
    <xf numFmtId="0" fontId="4" fillId="0" borderId="68" xfId="0" applyFont="1" applyBorder="1" applyAlignment="1">
      <alignment horizontal="center"/>
    </xf>
    <xf numFmtId="164" fontId="4" fillId="2" borderId="16" xfId="0" applyNumberFormat="1" applyFont="1" applyFill="1" applyBorder="1" applyAlignment="1">
      <alignment/>
    </xf>
    <xf numFmtId="0" fontId="4" fillId="0" borderId="33" xfId="0" applyFont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1" fontId="4" fillId="2" borderId="5" xfId="0" applyNumberFormat="1" applyFont="1" applyFill="1" applyBorder="1" applyAlignment="1">
      <alignment/>
    </xf>
    <xf numFmtId="164" fontId="4" fillId="2" borderId="6" xfId="0" applyNumberFormat="1" applyFont="1" applyFill="1" applyBorder="1" applyAlignment="1">
      <alignment/>
    </xf>
    <xf numFmtId="2" fontId="4" fillId="2" borderId="19" xfId="0" applyNumberFormat="1" applyFont="1" applyFill="1" applyBorder="1" applyAlignment="1">
      <alignment/>
    </xf>
    <xf numFmtId="0" fontId="4" fillId="3" borderId="19" xfId="0" applyFont="1" applyFill="1" applyBorder="1" applyAlignment="1">
      <alignment horizontal="center"/>
    </xf>
    <xf numFmtId="165" fontId="4" fillId="2" borderId="68" xfId="0" applyNumberFormat="1" applyFont="1" applyFill="1" applyBorder="1" applyAlignment="1">
      <alignment/>
    </xf>
    <xf numFmtId="2" fontId="4" fillId="2" borderId="6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68" xfId="0" applyFont="1" applyBorder="1" applyAlignment="1">
      <alignment/>
    </xf>
    <xf numFmtId="164" fontId="4" fillId="2" borderId="5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0" fontId="4" fillId="3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/>
    </xf>
    <xf numFmtId="165" fontId="4" fillId="2" borderId="54" xfId="0" applyNumberFormat="1" applyFont="1" applyFill="1" applyBorder="1" applyAlignment="1">
      <alignment/>
    </xf>
    <xf numFmtId="165" fontId="4" fillId="2" borderId="32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4" xfId="0" applyNumberFormat="1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0" xfId="0" applyFont="1" applyBorder="1" applyAlignment="1">
      <alignment/>
    </xf>
    <xf numFmtId="2" fontId="4" fillId="0" borderId="1" xfId="0" applyNumberFormat="1" applyFont="1" applyFill="1" applyBorder="1" applyAlignment="1">
      <alignment horizontal="right"/>
    </xf>
    <xf numFmtId="2" fontId="4" fillId="0" borderId="65" xfId="0" applyNumberFormat="1" applyFont="1" applyFill="1" applyBorder="1" applyAlignment="1">
      <alignment/>
    </xf>
    <xf numFmtId="165" fontId="4" fillId="2" borderId="65" xfId="0" applyNumberFormat="1" applyFont="1" applyFill="1" applyBorder="1" applyAlignment="1">
      <alignment/>
    </xf>
    <xf numFmtId="0" fontId="4" fillId="0" borderId="65" xfId="0" applyFont="1" applyBorder="1" applyAlignment="1">
      <alignment/>
    </xf>
    <xf numFmtId="164" fontId="4" fillId="2" borderId="4" xfId="0" applyNumberFormat="1" applyFont="1" applyFill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1" fontId="4" fillId="0" borderId="57" xfId="0" applyNumberFormat="1" applyFont="1" applyBorder="1" applyAlignment="1">
      <alignment/>
    </xf>
    <xf numFmtId="164" fontId="4" fillId="2" borderId="71" xfId="0" applyNumberFormat="1" applyFont="1" applyFill="1" applyBorder="1" applyAlignment="1">
      <alignment/>
    </xf>
    <xf numFmtId="165" fontId="4" fillId="0" borderId="29" xfId="0" applyNumberFormat="1" applyFont="1" applyBorder="1" applyAlignment="1">
      <alignment/>
    </xf>
    <xf numFmtId="1" fontId="4" fillId="0" borderId="29" xfId="0" applyNumberFormat="1" applyFont="1" applyBorder="1" applyAlignment="1">
      <alignment/>
    </xf>
    <xf numFmtId="2" fontId="4" fillId="2" borderId="29" xfId="0" applyNumberFormat="1" applyFont="1" applyFill="1" applyBorder="1" applyAlignment="1">
      <alignment/>
    </xf>
    <xf numFmtId="1" fontId="4" fillId="2" borderId="67" xfId="0" applyNumberFormat="1" applyFont="1" applyFill="1" applyBorder="1" applyAlignment="1">
      <alignment/>
    </xf>
    <xf numFmtId="164" fontId="4" fillId="2" borderId="55" xfId="0" applyNumberFormat="1" applyFont="1" applyFill="1" applyBorder="1" applyAlignment="1">
      <alignment/>
    </xf>
    <xf numFmtId="2" fontId="4" fillId="2" borderId="20" xfId="0" applyNumberFormat="1" applyFont="1" applyFill="1" applyBorder="1" applyAlignment="1">
      <alignment/>
    </xf>
    <xf numFmtId="2" fontId="4" fillId="2" borderId="49" xfId="0" applyNumberFormat="1" applyFont="1" applyFill="1" applyBorder="1" applyAlignment="1">
      <alignment/>
    </xf>
    <xf numFmtId="165" fontId="4" fillId="2" borderId="55" xfId="0" applyNumberFormat="1" applyFont="1" applyFill="1" applyBorder="1" applyAlignment="1">
      <alignment/>
    </xf>
    <xf numFmtId="165" fontId="4" fillId="2" borderId="29" xfId="0" applyNumberFormat="1" applyFont="1" applyFill="1" applyBorder="1" applyAlignment="1">
      <alignment/>
    </xf>
    <xf numFmtId="165" fontId="4" fillId="2" borderId="29" xfId="0" applyNumberFormat="1" applyFont="1" applyFill="1" applyBorder="1" applyAlignment="1">
      <alignment horizontal="right"/>
    </xf>
    <xf numFmtId="165" fontId="4" fillId="0" borderId="30" xfId="0" applyNumberFormat="1" applyFont="1" applyFill="1" applyBorder="1" applyAlignment="1">
      <alignment horizontal="right"/>
    </xf>
    <xf numFmtId="165" fontId="4" fillId="0" borderId="29" xfId="0" applyNumberFormat="1" applyFont="1" applyFill="1" applyBorder="1" applyAlignment="1">
      <alignment/>
    </xf>
    <xf numFmtId="0" fontId="4" fillId="3" borderId="72" xfId="0" applyFont="1" applyFill="1" applyBorder="1" applyAlignment="1">
      <alignment horizontal="center"/>
    </xf>
    <xf numFmtId="0" fontId="4" fillId="0" borderId="72" xfId="0" applyFont="1" applyBorder="1" applyAlignment="1">
      <alignment/>
    </xf>
    <xf numFmtId="0" fontId="4" fillId="0" borderId="52" xfId="0" applyFont="1" applyBorder="1" applyAlignment="1">
      <alignment/>
    </xf>
    <xf numFmtId="164" fontId="4" fillId="2" borderId="8" xfId="0" applyNumberFormat="1" applyFont="1" applyFill="1" applyBorder="1" applyAlignment="1">
      <alignment/>
    </xf>
    <xf numFmtId="0" fontId="4" fillId="0" borderId="55" xfId="0" applyFont="1" applyBorder="1" applyAlignment="1">
      <alignment/>
    </xf>
    <xf numFmtId="0" fontId="4" fillId="0" borderId="73" xfId="0" applyFont="1" applyBorder="1" applyAlignment="1">
      <alignment/>
    </xf>
    <xf numFmtId="0" fontId="4" fillId="0" borderId="70" xfId="0" applyFont="1" applyFill="1" applyBorder="1" applyAlignment="1">
      <alignment/>
    </xf>
    <xf numFmtId="1" fontId="4" fillId="0" borderId="56" xfId="0" applyNumberFormat="1" applyFont="1" applyBorder="1" applyAlignment="1">
      <alignment/>
    </xf>
    <xf numFmtId="1" fontId="4" fillId="0" borderId="59" xfId="0" applyNumberFormat="1" applyFont="1" applyBorder="1" applyAlignment="1">
      <alignment/>
    </xf>
    <xf numFmtId="165" fontId="4" fillId="2" borderId="38" xfId="0" applyNumberFormat="1" applyFont="1" applyFill="1" applyBorder="1" applyAlignment="1">
      <alignment horizontal="right"/>
    </xf>
    <xf numFmtId="165" fontId="4" fillId="2" borderId="56" xfId="0" applyNumberFormat="1" applyFont="1" applyFill="1" applyBorder="1" applyAlignment="1">
      <alignment horizontal="right"/>
    </xf>
    <xf numFmtId="0" fontId="4" fillId="0" borderId="74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4" fillId="0" borderId="48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164" fontId="4" fillId="0" borderId="37" xfId="0" applyNumberFormat="1" applyFont="1" applyBorder="1" applyAlignment="1">
      <alignment/>
    </xf>
    <xf numFmtId="164" fontId="4" fillId="0" borderId="54" xfId="0" applyNumberFormat="1" applyFont="1" applyBorder="1" applyAlignment="1">
      <alignment/>
    </xf>
    <xf numFmtId="164" fontId="4" fillId="0" borderId="65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164" fontId="4" fillId="0" borderId="64" xfId="0" applyNumberFormat="1" applyFont="1" applyBorder="1" applyAlignment="1">
      <alignment/>
    </xf>
    <xf numFmtId="164" fontId="4" fillId="0" borderId="5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66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4" xfId="0" applyNumberFormat="1" applyFont="1" applyBorder="1" applyAlignment="1">
      <alignment horizontal="right"/>
    </xf>
    <xf numFmtId="0" fontId="4" fillId="0" borderId="5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75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164" fontId="4" fillId="0" borderId="57" xfId="0" applyNumberFormat="1" applyFont="1" applyFill="1" applyBorder="1" applyAlignment="1">
      <alignment/>
    </xf>
    <xf numFmtId="165" fontId="4" fillId="0" borderId="57" xfId="0" applyNumberFormat="1" applyFont="1" applyFill="1" applyBorder="1" applyAlignment="1">
      <alignment/>
    </xf>
    <xf numFmtId="1" fontId="4" fillId="0" borderId="57" xfId="0" applyNumberFormat="1" applyFont="1" applyFill="1" applyBorder="1" applyAlignment="1">
      <alignment/>
    </xf>
    <xf numFmtId="2" fontId="4" fillId="0" borderId="57" xfId="0" applyNumberFormat="1" applyFont="1" applyFill="1" applyBorder="1" applyAlignment="1">
      <alignment horizontal="right"/>
    </xf>
    <xf numFmtId="0" fontId="4" fillId="0" borderId="57" xfId="0" applyFont="1" applyFill="1" applyBorder="1" applyAlignment="1">
      <alignment/>
    </xf>
    <xf numFmtId="2" fontId="4" fillId="0" borderId="38" xfId="0" applyNumberFormat="1" applyFont="1" applyFill="1" applyBorder="1" applyAlignment="1">
      <alignment/>
    </xf>
    <xf numFmtId="164" fontId="4" fillId="0" borderId="58" xfId="0" applyNumberFormat="1" applyFont="1" applyFill="1" applyBorder="1" applyAlignment="1">
      <alignment/>
    </xf>
    <xf numFmtId="2" fontId="4" fillId="0" borderId="66" xfId="0" applyNumberFormat="1" applyFont="1" applyFill="1" applyBorder="1" applyAlignment="1">
      <alignment/>
    </xf>
    <xf numFmtId="2" fontId="4" fillId="0" borderId="56" xfId="0" applyNumberFormat="1" applyFont="1" applyFill="1" applyBorder="1" applyAlignment="1">
      <alignment/>
    </xf>
    <xf numFmtId="165" fontId="4" fillId="0" borderId="58" xfId="0" applyNumberFormat="1" applyFont="1" applyFill="1" applyBorder="1" applyAlignment="1">
      <alignment/>
    </xf>
    <xf numFmtId="165" fontId="4" fillId="0" borderId="59" xfId="0" applyNumberFormat="1" applyFont="1" applyFill="1" applyBorder="1" applyAlignment="1">
      <alignment/>
    </xf>
    <xf numFmtId="165" fontId="4" fillId="0" borderId="27" xfId="0" applyNumberFormat="1" applyFont="1" applyFill="1" applyBorder="1" applyAlignment="1">
      <alignment horizontal="right"/>
    </xf>
    <xf numFmtId="165" fontId="4" fillId="0" borderId="57" xfId="0" applyNumberFormat="1" applyFont="1" applyFill="1" applyBorder="1" applyAlignment="1">
      <alignment horizontal="right"/>
    </xf>
    <xf numFmtId="165" fontId="4" fillId="0" borderId="38" xfId="0" applyNumberFormat="1" applyFont="1" applyFill="1" applyBorder="1" applyAlignment="1">
      <alignment horizontal="right"/>
    </xf>
    <xf numFmtId="0" fontId="4" fillId="0" borderId="48" xfId="0" applyFont="1" applyFill="1" applyBorder="1" applyAlignment="1">
      <alignment horizontal="center"/>
    </xf>
    <xf numFmtId="165" fontId="4" fillId="0" borderId="56" xfId="0" applyNumberFormat="1" applyFont="1" applyFill="1" applyBorder="1" applyAlignment="1">
      <alignment/>
    </xf>
    <xf numFmtId="2" fontId="4" fillId="0" borderId="58" xfId="0" applyNumberFormat="1" applyFont="1" applyFill="1" applyBorder="1" applyAlignment="1">
      <alignment/>
    </xf>
    <xf numFmtId="0" fontId="4" fillId="0" borderId="56" xfId="0" applyFont="1" applyFill="1" applyBorder="1" applyAlignment="1">
      <alignment/>
    </xf>
    <xf numFmtId="2" fontId="4" fillId="0" borderId="59" xfId="0" applyNumberFormat="1" applyFont="1" applyFill="1" applyBorder="1" applyAlignment="1">
      <alignment/>
    </xf>
    <xf numFmtId="0" fontId="4" fillId="0" borderId="66" xfId="0" applyFont="1" applyFill="1" applyBorder="1" applyAlignment="1">
      <alignment horizontal="center"/>
    </xf>
    <xf numFmtId="0" fontId="4" fillId="0" borderId="59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68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74" xfId="0" applyFont="1" applyBorder="1" applyAlignment="1">
      <alignment/>
    </xf>
    <xf numFmtId="164" fontId="8" fillId="0" borderId="19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47" xfId="0" applyFont="1" applyBorder="1" applyAlignment="1">
      <alignment horizontal="left"/>
    </xf>
    <xf numFmtId="0" fontId="8" fillId="0" borderId="38" xfId="0" applyFont="1" applyBorder="1" applyAlignment="1">
      <alignment horizontal="center"/>
    </xf>
    <xf numFmtId="0" fontId="8" fillId="0" borderId="38" xfId="0" applyFont="1" applyBorder="1" applyAlignment="1">
      <alignment/>
    </xf>
    <xf numFmtId="165" fontId="8" fillId="0" borderId="38" xfId="0" applyNumberFormat="1" applyFont="1" applyBorder="1" applyAlignment="1">
      <alignment/>
    </xf>
    <xf numFmtId="0" fontId="8" fillId="0" borderId="48" xfId="0" applyFont="1" applyBorder="1" applyAlignment="1">
      <alignment/>
    </xf>
    <xf numFmtId="0" fontId="8" fillId="0" borderId="23" xfId="0" applyFont="1" applyBorder="1" applyAlignment="1">
      <alignment/>
    </xf>
    <xf numFmtId="164" fontId="8" fillId="0" borderId="23" xfId="0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5" xfId="0" applyFont="1" applyBorder="1" applyAlignment="1">
      <alignment horizontal="right"/>
    </xf>
    <xf numFmtId="0" fontId="8" fillId="0" borderId="28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165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9" xfId="0" applyFont="1" applyBorder="1" applyAlignment="1">
      <alignment/>
    </xf>
    <xf numFmtId="0" fontId="8" fillId="0" borderId="49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8" fillId="0" borderId="21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9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0" fontId="8" fillId="0" borderId="8" xfId="0" applyFont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30" xfId="0" applyFont="1" applyBorder="1" applyAlignment="1">
      <alignment/>
    </xf>
    <xf numFmtId="0" fontId="8" fillId="0" borderId="24" xfId="0" applyFont="1" applyBorder="1" applyAlignment="1">
      <alignment/>
    </xf>
    <xf numFmtId="164" fontId="8" fillId="0" borderId="22" xfId="0" applyNumberFormat="1" applyFont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2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8" fillId="0" borderId="24" xfId="0" applyFont="1" applyBorder="1" applyAlignment="1">
      <alignment horizontal="center"/>
    </xf>
    <xf numFmtId="164" fontId="8" fillId="0" borderId="66" xfId="0" applyNumberFormat="1" applyFont="1" applyBorder="1" applyAlignment="1">
      <alignment/>
    </xf>
    <xf numFmtId="0" fontId="8" fillId="4" borderId="56" xfId="0" applyFont="1" applyFill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2" fontId="8" fillId="0" borderId="57" xfId="0" applyNumberFormat="1" applyFont="1" applyBorder="1" applyAlignment="1">
      <alignment/>
    </xf>
    <xf numFmtId="164" fontId="8" fillId="0" borderId="57" xfId="0" applyNumberFormat="1" applyFont="1" applyBorder="1" applyAlignment="1">
      <alignment/>
    </xf>
    <xf numFmtId="0" fontId="8" fillId="0" borderId="57" xfId="0" applyFont="1" applyBorder="1" applyAlignment="1">
      <alignment/>
    </xf>
    <xf numFmtId="165" fontId="8" fillId="0" borderId="59" xfId="0" applyNumberFormat="1" applyFont="1" applyBorder="1" applyAlignment="1">
      <alignment/>
    </xf>
    <xf numFmtId="2" fontId="8" fillId="2" borderId="57" xfId="0" applyNumberFormat="1" applyFont="1" applyFill="1" applyBorder="1" applyAlignment="1">
      <alignment/>
    </xf>
    <xf numFmtId="165" fontId="8" fillId="2" borderId="38" xfId="0" applyNumberFormat="1" applyFont="1" applyFill="1" applyBorder="1" applyAlignment="1">
      <alignment/>
    </xf>
    <xf numFmtId="164" fontId="8" fillId="2" borderId="58" xfId="0" applyNumberFormat="1" applyFont="1" applyFill="1" applyBorder="1" applyAlignment="1">
      <alignment/>
    </xf>
    <xf numFmtId="2" fontId="8" fillId="0" borderId="48" xfId="0" applyNumberFormat="1" applyFont="1" applyFill="1" applyBorder="1" applyAlignment="1">
      <alignment/>
    </xf>
    <xf numFmtId="165" fontId="8" fillId="2" borderId="66" xfId="0" applyNumberFormat="1" applyFont="1" applyFill="1" applyBorder="1" applyAlignment="1">
      <alignment/>
    </xf>
    <xf numFmtId="165" fontId="8" fillId="2" borderId="58" xfId="0" applyNumberFormat="1" applyFont="1" applyFill="1" applyBorder="1" applyAlignment="1">
      <alignment/>
    </xf>
    <xf numFmtId="165" fontId="8" fillId="0" borderId="56" xfId="0" applyNumberFormat="1" applyFont="1" applyBorder="1" applyAlignment="1">
      <alignment/>
    </xf>
    <xf numFmtId="165" fontId="8" fillId="0" borderId="57" xfId="0" applyNumberFormat="1" applyFont="1" applyBorder="1" applyAlignment="1">
      <alignment/>
    </xf>
    <xf numFmtId="165" fontId="8" fillId="2" borderId="66" xfId="0" applyNumberFormat="1" applyFont="1" applyFill="1" applyBorder="1" applyAlignment="1">
      <alignment horizontal="right"/>
    </xf>
    <xf numFmtId="165" fontId="8" fillId="2" borderId="59" xfId="0" applyNumberFormat="1" applyFont="1" applyFill="1" applyBorder="1" applyAlignment="1">
      <alignment horizontal="right"/>
    </xf>
    <xf numFmtId="165" fontId="8" fillId="0" borderId="59" xfId="0" applyNumberFormat="1" applyFont="1" applyFill="1" applyBorder="1" applyAlignment="1">
      <alignment horizontal="right"/>
    </xf>
    <xf numFmtId="165" fontId="8" fillId="0" borderId="58" xfId="0" applyNumberFormat="1" applyFont="1" applyFill="1" applyBorder="1" applyAlignment="1">
      <alignment horizontal="right"/>
    </xf>
    <xf numFmtId="165" fontId="8" fillId="2" borderId="48" xfId="0" applyNumberFormat="1" applyFont="1" applyFill="1" applyBorder="1" applyAlignment="1">
      <alignment horizontal="right"/>
    </xf>
    <xf numFmtId="165" fontId="8" fillId="0" borderId="66" xfId="0" applyNumberFormat="1" applyFont="1" applyFill="1" applyBorder="1" applyAlignment="1">
      <alignment horizontal="right"/>
    </xf>
    <xf numFmtId="0" fontId="8" fillId="3" borderId="48" xfId="0" applyFont="1" applyFill="1" applyBorder="1" applyAlignment="1">
      <alignment horizontal="center"/>
    </xf>
    <xf numFmtId="165" fontId="8" fillId="2" borderId="56" xfId="0" applyNumberFormat="1" applyFont="1" applyFill="1" applyBorder="1" applyAlignment="1">
      <alignment/>
    </xf>
    <xf numFmtId="165" fontId="8" fillId="2" borderId="57" xfId="0" applyNumberFormat="1" applyFont="1" applyFill="1" applyBorder="1" applyAlignment="1">
      <alignment/>
    </xf>
    <xf numFmtId="2" fontId="8" fillId="2" borderId="58" xfId="0" applyNumberFormat="1" applyFont="1" applyFill="1" applyBorder="1" applyAlignment="1">
      <alignment/>
    </xf>
    <xf numFmtId="0" fontId="8" fillId="0" borderId="66" xfId="0" applyFont="1" applyBorder="1" applyAlignment="1">
      <alignment/>
    </xf>
    <xf numFmtId="0" fontId="8" fillId="0" borderId="56" xfId="0" applyFont="1" applyBorder="1" applyAlignment="1">
      <alignment/>
    </xf>
    <xf numFmtId="164" fontId="8" fillId="2" borderId="38" xfId="0" applyNumberFormat="1" applyFont="1" applyFill="1" applyBorder="1" applyAlignment="1">
      <alignment/>
    </xf>
    <xf numFmtId="0" fontId="8" fillId="0" borderId="58" xfId="0" applyFont="1" applyBorder="1" applyAlignment="1">
      <alignment/>
    </xf>
    <xf numFmtId="2" fontId="8" fillId="2" borderId="59" xfId="0" applyNumberFormat="1" applyFont="1" applyFill="1" applyBorder="1" applyAlignment="1">
      <alignment/>
    </xf>
    <xf numFmtId="2" fontId="8" fillId="2" borderId="48" xfId="0" applyNumberFormat="1" applyFont="1" applyFill="1" applyBorder="1" applyAlignment="1">
      <alignment/>
    </xf>
    <xf numFmtId="0" fontId="8" fillId="3" borderId="6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2" fontId="8" fillId="0" borderId="0" xfId="0" applyNumberFormat="1" applyFont="1" applyFill="1" applyBorder="1" applyAlignment="1" quotePrefix="1">
      <alignment/>
    </xf>
    <xf numFmtId="165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5" fontId="8" fillId="0" borderId="0" xfId="0" applyNumberFormat="1" applyFont="1" applyAlignment="1">
      <alignment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/>
    </xf>
    <xf numFmtId="164" fontId="8" fillId="0" borderId="0" xfId="0" applyNumberFormat="1" applyFont="1" applyAlignment="1">
      <alignment/>
    </xf>
    <xf numFmtId="1" fontId="8" fillId="0" borderId="7" xfId="0" applyNumberFormat="1" applyFont="1" applyBorder="1" applyAlignment="1">
      <alignment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1" xfId="0" applyFont="1" applyBorder="1" applyAlignment="1">
      <alignment horizontal="center"/>
    </xf>
    <xf numFmtId="0" fontId="8" fillId="0" borderId="62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47" xfId="0" applyFont="1" applyBorder="1" applyAlignment="1">
      <alignment/>
    </xf>
    <xf numFmtId="164" fontId="8" fillId="0" borderId="48" xfId="0" applyNumberFormat="1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38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8" xfId="0" applyNumberFormat="1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52" xfId="0" applyFont="1" applyBorder="1" applyAlignment="1">
      <alignment horizontal="right"/>
    </xf>
    <xf numFmtId="0" fontId="8" fillId="0" borderId="7" xfId="0" applyFont="1" applyFill="1" applyBorder="1" applyAlignment="1">
      <alignment/>
    </xf>
    <xf numFmtId="0" fontId="8" fillId="0" borderId="49" xfId="0" applyFont="1" applyBorder="1" applyAlignment="1">
      <alignment/>
    </xf>
    <xf numFmtId="0" fontId="8" fillId="0" borderId="2" xfId="0" applyFont="1" applyFill="1" applyBorder="1" applyAlignment="1">
      <alignment/>
    </xf>
    <xf numFmtId="165" fontId="8" fillId="0" borderId="1" xfId="0" applyNumberFormat="1" applyFont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35" xfId="0" applyFont="1" applyBorder="1" applyAlignment="1">
      <alignment/>
    </xf>
    <xf numFmtId="164" fontId="8" fillId="0" borderId="35" xfId="0" applyNumberFormat="1" applyFont="1" applyBorder="1" applyAlignment="1">
      <alignment/>
    </xf>
    <xf numFmtId="0" fontId="8" fillId="0" borderId="45" xfId="0" applyFont="1" applyFill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8" fillId="0" borderId="32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2" fontId="8" fillId="2" borderId="4" xfId="0" applyNumberFormat="1" applyFont="1" applyFill="1" applyBorder="1" applyAlignment="1">
      <alignment horizontal="right"/>
    </xf>
    <xf numFmtId="2" fontId="8" fillId="0" borderId="4" xfId="0" applyNumberFormat="1" applyFont="1" applyBorder="1" applyAlignment="1">
      <alignment/>
    </xf>
    <xf numFmtId="165" fontId="8" fillId="0" borderId="27" xfId="0" applyNumberFormat="1" applyFont="1" applyBorder="1" applyAlignment="1">
      <alignment/>
    </xf>
    <xf numFmtId="2" fontId="8" fillId="2" borderId="12" xfId="0" applyNumberFormat="1" applyFont="1" applyFill="1" applyBorder="1" applyAlignment="1">
      <alignment/>
    </xf>
    <xf numFmtId="1" fontId="8" fillId="2" borderId="14" xfId="0" applyNumberFormat="1" applyFont="1" applyFill="1" applyBorder="1" applyAlignment="1">
      <alignment/>
    </xf>
    <xf numFmtId="164" fontId="8" fillId="2" borderId="15" xfId="0" applyNumberFormat="1" applyFont="1" applyFill="1" applyBorder="1" applyAlignment="1">
      <alignment/>
    </xf>
    <xf numFmtId="2" fontId="8" fillId="2" borderId="35" xfId="0" applyNumberFormat="1" applyFont="1" applyFill="1" applyBorder="1" applyAlignment="1">
      <alignment/>
    </xf>
    <xf numFmtId="2" fontId="8" fillId="2" borderId="41" xfId="0" applyNumberFormat="1" applyFont="1" applyFill="1" applyBorder="1" applyAlignment="1">
      <alignment/>
    </xf>
    <xf numFmtId="165" fontId="8" fillId="2" borderId="15" xfId="0" applyNumberFormat="1" applyFont="1" applyFill="1" applyBorder="1" applyAlignment="1">
      <alignment/>
    </xf>
    <xf numFmtId="165" fontId="8" fillId="2" borderId="12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165" fontId="8" fillId="0" borderId="13" xfId="0" applyNumberFormat="1" applyFont="1" applyBorder="1" applyAlignment="1">
      <alignment/>
    </xf>
    <xf numFmtId="165" fontId="8" fillId="2" borderId="12" xfId="0" applyNumberFormat="1" applyFont="1" applyFill="1" applyBorder="1" applyAlignment="1">
      <alignment horizontal="right"/>
    </xf>
    <xf numFmtId="165" fontId="8" fillId="2" borderId="25" xfId="0" applyNumberFormat="1" applyFont="1" applyFill="1" applyBorder="1" applyAlignment="1">
      <alignment/>
    </xf>
    <xf numFmtId="0" fontId="8" fillId="3" borderId="35" xfId="0" applyFont="1" applyFill="1" applyBorder="1" applyAlignment="1">
      <alignment horizontal="center"/>
    </xf>
    <xf numFmtId="165" fontId="8" fillId="2" borderId="41" xfId="0" applyNumberFormat="1" applyFont="1" applyFill="1" applyBorder="1" applyAlignment="1">
      <alignment/>
    </xf>
    <xf numFmtId="165" fontId="8" fillId="2" borderId="14" xfId="0" applyNumberFormat="1" applyFont="1" applyFill="1" applyBorder="1" applyAlignment="1">
      <alignment/>
    </xf>
    <xf numFmtId="2" fontId="8" fillId="2" borderId="15" xfId="0" applyNumberFormat="1" applyFont="1" applyFill="1" applyBorder="1" applyAlignment="1">
      <alignment/>
    </xf>
    <xf numFmtId="0" fontId="8" fillId="0" borderId="41" xfId="0" applyFont="1" applyBorder="1" applyAlignment="1">
      <alignment/>
    </xf>
    <xf numFmtId="164" fontId="8" fillId="2" borderId="14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2" fontId="8" fillId="2" borderId="13" xfId="0" applyNumberFormat="1" applyFont="1" applyFill="1" applyBorder="1" applyAlignment="1">
      <alignment/>
    </xf>
    <xf numFmtId="0" fontId="8" fillId="0" borderId="36" xfId="0" applyFont="1" applyBorder="1" applyAlignment="1">
      <alignment/>
    </xf>
    <xf numFmtId="164" fontId="8" fillId="0" borderId="36" xfId="0" applyNumberFormat="1" applyFont="1" applyBorder="1" applyAlignment="1">
      <alignment/>
    </xf>
    <xf numFmtId="0" fontId="8" fillId="0" borderId="4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64" fontId="8" fillId="0" borderId="16" xfId="0" applyNumberFormat="1" applyFont="1" applyBorder="1" applyAlignment="1">
      <alignment/>
    </xf>
    <xf numFmtId="2" fontId="8" fillId="2" borderId="29" xfId="0" applyNumberFormat="1" applyFont="1" applyFill="1" applyBorder="1" applyAlignment="1">
      <alignment horizontal="right"/>
    </xf>
    <xf numFmtId="0" fontId="8" fillId="0" borderId="67" xfId="0" applyFont="1" applyBorder="1" applyAlignment="1">
      <alignment/>
    </xf>
    <xf numFmtId="2" fontId="8" fillId="0" borderId="29" xfId="0" applyNumberFormat="1" applyFont="1" applyBorder="1" applyAlignment="1">
      <alignment/>
    </xf>
    <xf numFmtId="165" fontId="8" fillId="0" borderId="30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2" borderId="16" xfId="0" applyNumberFormat="1" applyFont="1" applyFill="1" applyBorder="1" applyAlignment="1">
      <alignment/>
    </xf>
    <xf numFmtId="1" fontId="8" fillId="2" borderId="17" xfId="0" applyNumberFormat="1" applyFont="1" applyFill="1" applyBorder="1" applyAlignment="1">
      <alignment/>
    </xf>
    <xf numFmtId="164" fontId="8" fillId="2" borderId="25" xfId="0" applyNumberFormat="1" applyFont="1" applyFill="1" applyBorder="1" applyAlignment="1">
      <alignment/>
    </xf>
    <xf numFmtId="2" fontId="8" fillId="2" borderId="34" xfId="0" applyNumberFormat="1" applyFont="1" applyFill="1" applyBorder="1" applyAlignment="1">
      <alignment/>
    </xf>
    <xf numFmtId="2" fontId="8" fillId="2" borderId="45" xfId="0" applyNumberFormat="1" applyFont="1" applyFill="1" applyBorder="1" applyAlignment="1">
      <alignment/>
    </xf>
    <xf numFmtId="165" fontId="8" fillId="2" borderId="33" xfId="0" applyNumberFormat="1" applyFont="1" applyFill="1" applyBorder="1" applyAlignment="1">
      <alignment/>
    </xf>
    <xf numFmtId="165" fontId="8" fillId="2" borderId="32" xfId="0" applyNumberFormat="1" applyFont="1" applyFill="1" applyBorder="1" applyAlignment="1">
      <alignment/>
    </xf>
    <xf numFmtId="0" fontId="8" fillId="0" borderId="32" xfId="0" applyFont="1" applyBorder="1" applyAlignment="1">
      <alignment/>
    </xf>
    <xf numFmtId="165" fontId="8" fillId="0" borderId="7" xfId="0" applyNumberFormat="1" applyFont="1" applyBorder="1" applyAlignment="1">
      <alignment/>
    </xf>
    <xf numFmtId="165" fontId="8" fillId="2" borderId="8" xfId="0" applyNumberFormat="1" applyFont="1" applyFill="1" applyBorder="1" applyAlignment="1">
      <alignment horizontal="right"/>
    </xf>
    <xf numFmtId="165" fontId="8" fillId="0" borderId="17" xfId="0" applyNumberFormat="1" applyFont="1" applyBorder="1" applyAlignment="1">
      <alignment/>
    </xf>
    <xf numFmtId="2" fontId="8" fillId="2" borderId="32" xfId="0" applyNumberFormat="1" applyFont="1" applyFill="1" applyBorder="1" applyAlignment="1">
      <alignment/>
    </xf>
    <xf numFmtId="0" fontId="8" fillId="3" borderId="36" xfId="0" applyFont="1" applyFill="1" applyBorder="1" applyAlignment="1">
      <alignment horizontal="center"/>
    </xf>
    <xf numFmtId="165" fontId="8" fillId="2" borderId="46" xfId="0" applyNumberFormat="1" applyFont="1" applyFill="1" applyBorder="1" applyAlignment="1">
      <alignment/>
    </xf>
    <xf numFmtId="165" fontId="8" fillId="2" borderId="18" xfId="0" applyNumberFormat="1" applyFont="1" applyFill="1" applyBorder="1" applyAlignment="1">
      <alignment/>
    </xf>
    <xf numFmtId="165" fontId="8" fillId="2" borderId="16" xfId="0" applyNumberFormat="1" applyFont="1" applyFill="1" applyBorder="1" applyAlignment="1">
      <alignment/>
    </xf>
    <xf numFmtId="2" fontId="8" fillId="2" borderId="25" xfId="0" applyNumberFormat="1" applyFont="1" applyFill="1" applyBorder="1" applyAlignment="1">
      <alignment/>
    </xf>
    <xf numFmtId="0" fontId="8" fillId="0" borderId="46" xfId="0" applyFont="1" applyBorder="1" applyAlignment="1">
      <alignment/>
    </xf>
    <xf numFmtId="164" fontId="8" fillId="2" borderId="18" xfId="0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2" fontId="8" fillId="2" borderId="17" xfId="0" applyNumberFormat="1" applyFont="1" applyFill="1" applyBorder="1" applyAlignment="1">
      <alignment/>
    </xf>
    <xf numFmtId="2" fontId="8" fillId="2" borderId="36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8" fillId="2" borderId="16" xfId="0" applyNumberFormat="1" applyFont="1" applyFill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1" fontId="8" fillId="2" borderId="26" xfId="0" applyNumberFormat="1" applyFont="1" applyFill="1" applyBorder="1" applyAlignment="1">
      <alignment/>
    </xf>
    <xf numFmtId="164" fontId="8" fillId="2" borderId="33" xfId="0" applyNumberFormat="1" applyFont="1" applyFill="1" applyBorder="1" applyAlignment="1">
      <alignment/>
    </xf>
    <xf numFmtId="2" fontId="8" fillId="2" borderId="64" xfId="0" applyNumberFormat="1" applyFont="1" applyFill="1" applyBorder="1" applyAlignment="1">
      <alignment/>
    </xf>
    <xf numFmtId="2" fontId="8" fillId="2" borderId="46" xfId="0" applyNumberFormat="1" applyFont="1" applyFill="1" applyBorder="1" applyAlignment="1">
      <alignment/>
    </xf>
    <xf numFmtId="165" fontId="8" fillId="2" borderId="16" xfId="0" applyNumberFormat="1" applyFont="1" applyFill="1" applyBorder="1" applyAlignment="1">
      <alignment horizontal="right"/>
    </xf>
    <xf numFmtId="0" fontId="8" fillId="0" borderId="37" xfId="0" applyFont="1" applyBorder="1" applyAlignment="1">
      <alignment/>
    </xf>
    <xf numFmtId="164" fontId="8" fillId="0" borderId="34" xfId="0" applyNumberFormat="1" applyFont="1" applyBorder="1" applyAlignment="1">
      <alignment/>
    </xf>
    <xf numFmtId="0" fontId="8" fillId="0" borderId="42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2" fontId="8" fillId="0" borderId="40" xfId="0" applyNumberFormat="1" applyFont="1" applyBorder="1" applyAlignment="1">
      <alignment/>
    </xf>
    <xf numFmtId="164" fontId="8" fillId="0" borderId="40" xfId="0" applyNumberFormat="1" applyFont="1" applyBorder="1" applyAlignment="1">
      <alignment/>
    </xf>
    <xf numFmtId="2" fontId="8" fillId="2" borderId="40" xfId="0" applyNumberFormat="1" applyFont="1" applyFill="1" applyBorder="1" applyAlignment="1">
      <alignment horizontal="right"/>
    </xf>
    <xf numFmtId="0" fontId="8" fillId="0" borderId="40" xfId="0" applyFont="1" applyBorder="1" applyAlignment="1">
      <alignment/>
    </xf>
    <xf numFmtId="0" fontId="8" fillId="0" borderId="39" xfId="0" applyFont="1" applyBorder="1" applyAlignment="1">
      <alignment/>
    </xf>
    <xf numFmtId="165" fontId="8" fillId="0" borderId="43" xfId="0" applyNumberFormat="1" applyFont="1" applyBorder="1" applyAlignment="1">
      <alignment/>
    </xf>
    <xf numFmtId="2" fontId="8" fillId="2" borderId="40" xfId="0" applyNumberFormat="1" applyFont="1" applyFill="1" applyBorder="1" applyAlignment="1">
      <alignment/>
    </xf>
    <xf numFmtId="1" fontId="8" fillId="2" borderId="39" xfId="0" applyNumberFormat="1" applyFont="1" applyFill="1" applyBorder="1" applyAlignment="1">
      <alignment/>
    </xf>
    <xf numFmtId="164" fontId="8" fillId="2" borderId="44" xfId="0" applyNumberFormat="1" applyFont="1" applyFill="1" applyBorder="1" applyAlignment="1">
      <alignment/>
    </xf>
    <xf numFmtId="2" fontId="8" fillId="2" borderId="37" xfId="0" applyNumberFormat="1" applyFont="1" applyFill="1" applyBorder="1" applyAlignment="1">
      <alignment/>
    </xf>
    <xf numFmtId="2" fontId="8" fillId="2" borderId="42" xfId="0" applyNumberFormat="1" applyFont="1" applyFill="1" applyBorder="1" applyAlignment="1">
      <alignment/>
    </xf>
    <xf numFmtId="165" fontId="8" fillId="2" borderId="44" xfId="0" applyNumberFormat="1" applyFont="1" applyFill="1" applyBorder="1" applyAlignment="1">
      <alignment/>
    </xf>
    <xf numFmtId="165" fontId="8" fillId="2" borderId="40" xfId="0" applyNumberFormat="1" applyFont="1" applyFill="1" applyBorder="1" applyAlignment="1">
      <alignment/>
    </xf>
    <xf numFmtId="165" fontId="8" fillId="0" borderId="2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165" fontId="8" fillId="2" borderId="1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/>
    </xf>
    <xf numFmtId="165" fontId="8" fillId="2" borderId="1" xfId="0" applyNumberFormat="1" applyFont="1" applyFill="1" applyBorder="1" applyAlignment="1">
      <alignment/>
    </xf>
    <xf numFmtId="0" fontId="8" fillId="3" borderId="22" xfId="0" applyFont="1" applyFill="1" applyBorder="1" applyAlignment="1">
      <alignment horizontal="center"/>
    </xf>
    <xf numFmtId="165" fontId="8" fillId="2" borderId="31" xfId="0" applyNumberFormat="1" applyFont="1" applyFill="1" applyBorder="1" applyAlignment="1">
      <alignment/>
    </xf>
    <xf numFmtId="165" fontId="8" fillId="2" borderId="10" xfId="0" applyNumberFormat="1" applyFont="1" applyFill="1" applyBorder="1" applyAlignment="1">
      <alignment/>
    </xf>
    <xf numFmtId="2" fontId="8" fillId="2" borderId="44" xfId="0" applyNumberFormat="1" applyFont="1" applyFill="1" applyBorder="1" applyAlignment="1">
      <alignment/>
    </xf>
    <xf numFmtId="0" fontId="8" fillId="0" borderId="42" xfId="0" applyFont="1" applyBorder="1" applyAlignment="1">
      <alignment/>
    </xf>
    <xf numFmtId="164" fontId="8" fillId="2" borderId="39" xfId="0" applyNumberFormat="1" applyFont="1" applyFill="1" applyBorder="1" applyAlignment="1">
      <alignment/>
    </xf>
    <xf numFmtId="0" fontId="8" fillId="0" borderId="44" xfId="0" applyFont="1" applyBorder="1" applyAlignment="1">
      <alignment/>
    </xf>
    <xf numFmtId="2" fontId="8" fillId="2" borderId="43" xfId="0" applyNumberFormat="1" applyFont="1" applyFill="1" applyBorder="1" applyAlignment="1">
      <alignment/>
    </xf>
    <xf numFmtId="0" fontId="8" fillId="3" borderId="37" xfId="0" applyFont="1" applyFill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1" fontId="8" fillId="0" borderId="32" xfId="0" applyNumberFormat="1" applyFont="1" applyBorder="1" applyAlignment="1">
      <alignment/>
    </xf>
    <xf numFmtId="2" fontId="8" fillId="2" borderId="32" xfId="0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/>
    </xf>
    <xf numFmtId="2" fontId="8" fillId="0" borderId="40" xfId="0" applyNumberFormat="1" applyFont="1" applyFill="1" applyBorder="1" applyAlignment="1">
      <alignment/>
    </xf>
    <xf numFmtId="164" fontId="8" fillId="0" borderId="40" xfId="0" applyNumberFormat="1" applyFont="1" applyFill="1" applyBorder="1" applyAlignment="1">
      <alignment/>
    </xf>
    <xf numFmtId="1" fontId="8" fillId="0" borderId="40" xfId="0" applyNumberFormat="1" applyFont="1" applyBorder="1" applyAlignment="1">
      <alignment/>
    </xf>
    <xf numFmtId="2" fontId="8" fillId="2" borderId="31" xfId="0" applyNumberFormat="1" applyFont="1" applyFill="1" applyBorder="1" applyAlignment="1">
      <alignment/>
    </xf>
    <xf numFmtId="165" fontId="8" fillId="2" borderId="11" xfId="0" applyNumberFormat="1" applyFont="1" applyFill="1" applyBorder="1" applyAlignment="1">
      <alignment/>
    </xf>
    <xf numFmtId="2" fontId="8" fillId="2" borderId="11" xfId="0" applyNumberFormat="1" applyFont="1" applyFill="1" applyBorder="1" applyAlignment="1">
      <alignment/>
    </xf>
    <xf numFmtId="0" fontId="8" fillId="0" borderId="31" xfId="0" applyFont="1" applyBorder="1" applyAlignment="1">
      <alignment/>
    </xf>
    <xf numFmtId="164" fontId="8" fillId="2" borderId="1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2" fontId="8" fillId="2" borderId="2" xfId="0" applyNumberFormat="1" applyFont="1" applyFill="1" applyBorder="1" applyAlignment="1">
      <alignment/>
    </xf>
    <xf numFmtId="2" fontId="8" fillId="2" borderId="24" xfId="0" applyNumberFormat="1" applyFont="1" applyFill="1" applyBorder="1" applyAlignment="1">
      <alignment/>
    </xf>
    <xf numFmtId="0" fontId="8" fillId="3" borderId="2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2" fontId="8" fillId="2" borderId="1" xfId="0" applyNumberFormat="1" applyFont="1" applyFill="1" applyBorder="1" applyAlignment="1">
      <alignment horizontal="right"/>
    </xf>
    <xf numFmtId="1" fontId="8" fillId="2" borderId="10" xfId="0" applyNumberFormat="1" applyFont="1" applyFill="1" applyBorder="1" applyAlignment="1">
      <alignment/>
    </xf>
    <xf numFmtId="164" fontId="8" fillId="2" borderId="11" xfId="0" applyNumberFormat="1" applyFont="1" applyFill="1" applyBorder="1" applyAlignment="1">
      <alignment/>
    </xf>
    <xf numFmtId="0" fontId="8" fillId="0" borderId="41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2" fontId="8" fillId="2" borderId="12" xfId="0" applyNumberFormat="1" applyFont="1" applyFill="1" applyBorder="1" applyAlignment="1">
      <alignment horizontal="right"/>
    </xf>
    <xf numFmtId="2" fontId="8" fillId="0" borderId="8" xfId="0" applyNumberFormat="1" applyFont="1" applyBorder="1" applyAlignment="1">
      <alignment/>
    </xf>
    <xf numFmtId="2" fontId="8" fillId="2" borderId="23" xfId="0" applyNumberFormat="1" applyFont="1" applyFill="1" applyBorder="1" applyAlignment="1">
      <alignment/>
    </xf>
    <xf numFmtId="2" fontId="8" fillId="2" borderId="68" xfId="0" applyNumberFormat="1" applyFont="1" applyFill="1" applyBorder="1" applyAlignment="1">
      <alignment/>
    </xf>
    <xf numFmtId="165" fontId="8" fillId="2" borderId="6" xfId="0" applyNumberFormat="1" applyFont="1" applyFill="1" applyBorder="1" applyAlignment="1">
      <alignment/>
    </xf>
    <xf numFmtId="165" fontId="8" fillId="2" borderId="4" xfId="0" applyNumberFormat="1" applyFont="1" applyFill="1" applyBorder="1" applyAlignment="1">
      <alignment/>
    </xf>
    <xf numFmtId="165" fontId="8" fillId="0" borderId="3" xfId="0" applyNumberFormat="1" applyFont="1" applyBorder="1" applyAlignment="1">
      <alignment/>
    </xf>
    <xf numFmtId="165" fontId="8" fillId="2" borderId="4" xfId="0" applyNumberFormat="1" applyFont="1" applyFill="1" applyBorder="1" applyAlignment="1">
      <alignment horizontal="right"/>
    </xf>
    <xf numFmtId="0" fontId="8" fillId="0" borderId="64" xfId="0" applyFont="1" applyBorder="1" applyAlignment="1">
      <alignment horizontal="center"/>
    </xf>
    <xf numFmtId="2" fontId="8" fillId="2" borderId="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8" fillId="0" borderId="16" xfId="0" applyNumberFormat="1" applyFont="1" applyBorder="1" applyAlignment="1">
      <alignment/>
    </xf>
    <xf numFmtId="165" fontId="8" fillId="2" borderId="17" xfId="0" applyNumberFormat="1" applyFont="1" applyFill="1" applyBorder="1" applyAlignment="1">
      <alignment/>
    </xf>
    <xf numFmtId="164" fontId="8" fillId="0" borderId="37" xfId="0" applyNumberFormat="1" applyFont="1" applyBorder="1" applyAlignment="1">
      <alignment/>
    </xf>
    <xf numFmtId="0" fontId="8" fillId="0" borderId="6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8" fillId="0" borderId="38" xfId="0" applyFont="1" applyBorder="1" applyAlignment="1">
      <alignment horizontal="left"/>
    </xf>
    <xf numFmtId="1" fontId="8" fillId="0" borderId="38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1" fontId="8" fillId="0" borderId="5" xfId="0" applyNumberFormat="1" applyFont="1" applyBorder="1" applyAlignment="1">
      <alignment/>
    </xf>
    <xf numFmtId="165" fontId="8" fillId="0" borderId="7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5" fontId="8" fillId="0" borderId="26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8" fillId="0" borderId="9" xfId="0" applyFont="1" applyBorder="1" applyAlignment="1">
      <alignment horizontal="center"/>
    </xf>
    <xf numFmtId="1" fontId="8" fillId="0" borderId="8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0" fontId="8" fillId="0" borderId="4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5" fontId="8" fillId="0" borderId="12" xfId="0" applyNumberFormat="1" applyFont="1" applyBorder="1" applyAlignment="1">
      <alignment/>
    </xf>
    <xf numFmtId="165" fontId="8" fillId="0" borderId="3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/>
    </xf>
    <xf numFmtId="165" fontId="8" fillId="2" borderId="8" xfId="0" applyNumberFormat="1" applyFont="1" applyFill="1" applyBorder="1" applyAlignment="1">
      <alignment/>
    </xf>
    <xf numFmtId="165" fontId="8" fillId="0" borderId="12" xfId="0" applyNumberFormat="1" applyFont="1" applyFill="1" applyBorder="1" applyAlignment="1">
      <alignment/>
    </xf>
    <xf numFmtId="165" fontId="8" fillId="2" borderId="5" xfId="0" applyNumberFormat="1" applyFont="1" applyFill="1" applyBorder="1" applyAlignment="1">
      <alignment/>
    </xf>
    <xf numFmtId="164" fontId="8" fillId="2" borderId="12" xfId="0" applyNumberFormat="1" applyFont="1" applyFill="1" applyBorder="1" applyAlignment="1">
      <alignment/>
    </xf>
    <xf numFmtId="0" fontId="8" fillId="0" borderId="5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64" fontId="8" fillId="0" borderId="29" xfId="0" applyNumberFormat="1" applyFont="1" applyBorder="1" applyAlignment="1">
      <alignment/>
    </xf>
    <xf numFmtId="165" fontId="8" fillId="0" borderId="29" xfId="0" applyNumberFormat="1" applyFont="1" applyBorder="1" applyAlignment="1">
      <alignment/>
    </xf>
    <xf numFmtId="1" fontId="8" fillId="0" borderId="29" xfId="0" applyNumberFormat="1" applyFont="1" applyBorder="1" applyAlignment="1">
      <alignment/>
    </xf>
    <xf numFmtId="2" fontId="8" fillId="2" borderId="29" xfId="0" applyNumberFormat="1" applyFont="1" applyFill="1" applyBorder="1" applyAlignment="1">
      <alignment/>
    </xf>
    <xf numFmtId="1" fontId="8" fillId="2" borderId="67" xfId="0" applyNumberFormat="1" applyFont="1" applyFill="1" applyBorder="1" applyAlignment="1">
      <alignment/>
    </xf>
    <xf numFmtId="164" fontId="8" fillId="2" borderId="55" xfId="0" applyNumberFormat="1" applyFont="1" applyFill="1" applyBorder="1" applyAlignment="1">
      <alignment/>
    </xf>
    <xf numFmtId="2" fontId="8" fillId="2" borderId="20" xfId="0" applyNumberFormat="1" applyFont="1" applyFill="1" applyBorder="1" applyAlignment="1">
      <alignment/>
    </xf>
    <xf numFmtId="2" fontId="8" fillId="2" borderId="49" xfId="0" applyNumberFormat="1" applyFont="1" applyFill="1" applyBorder="1" applyAlignment="1">
      <alignment/>
    </xf>
    <xf numFmtId="165" fontId="8" fillId="2" borderId="55" xfId="0" applyNumberFormat="1" applyFont="1" applyFill="1" applyBorder="1" applyAlignment="1">
      <alignment/>
    </xf>
    <xf numFmtId="165" fontId="8" fillId="2" borderId="29" xfId="0" applyNumberFormat="1" applyFont="1" applyFill="1" applyBorder="1" applyAlignment="1">
      <alignment/>
    </xf>
    <xf numFmtId="165" fontId="8" fillId="2" borderId="29" xfId="0" applyNumberFormat="1" applyFont="1" applyFill="1" applyBorder="1" applyAlignment="1">
      <alignment horizontal="right"/>
    </xf>
    <xf numFmtId="165" fontId="8" fillId="0" borderId="30" xfId="0" applyNumberFormat="1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/>
    </xf>
    <xf numFmtId="165" fontId="8" fillId="0" borderId="8" xfId="0" applyNumberFormat="1" applyFont="1" applyFill="1" applyBorder="1" applyAlignment="1">
      <alignment/>
    </xf>
    <xf numFmtId="2" fontId="8" fillId="2" borderId="8" xfId="0" applyNumberFormat="1" applyFont="1" applyFill="1" applyBorder="1" applyAlignment="1">
      <alignment/>
    </xf>
    <xf numFmtId="165" fontId="8" fillId="2" borderId="9" xfId="0" applyNumberFormat="1" applyFont="1" applyFill="1" applyBorder="1" applyAlignment="1">
      <alignment/>
    </xf>
    <xf numFmtId="0" fontId="8" fillId="3" borderId="72" xfId="0" applyFont="1" applyFill="1" applyBorder="1" applyAlignment="1">
      <alignment horizontal="center"/>
    </xf>
    <xf numFmtId="165" fontId="8" fillId="2" borderId="49" xfId="0" applyNumberFormat="1" applyFont="1" applyFill="1" applyBorder="1" applyAlignment="1">
      <alignment/>
    </xf>
    <xf numFmtId="2" fontId="8" fillId="2" borderId="9" xfId="0" applyNumberFormat="1" applyFont="1" applyFill="1" applyBorder="1" applyAlignment="1">
      <alignment/>
    </xf>
    <xf numFmtId="0" fontId="8" fillId="0" borderId="72" xfId="0" applyFont="1" applyBorder="1" applyAlignment="1">
      <alignment/>
    </xf>
    <xf numFmtId="0" fontId="8" fillId="0" borderId="52" xfId="0" applyFont="1" applyBorder="1" applyAlignment="1">
      <alignment/>
    </xf>
    <xf numFmtId="164" fontId="8" fillId="2" borderId="8" xfId="0" applyNumberFormat="1" applyFont="1" applyFill="1" applyBorder="1" applyAlignment="1">
      <alignment/>
    </xf>
    <xf numFmtId="0" fontId="8" fillId="0" borderId="55" xfId="0" applyFont="1" applyBorder="1" applyAlignment="1">
      <alignment/>
    </xf>
    <xf numFmtId="0" fontId="8" fillId="3" borderId="20" xfId="0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8" fillId="0" borderId="43" xfId="0" applyFont="1" applyBorder="1" applyAlignment="1">
      <alignment horizontal="center"/>
    </xf>
    <xf numFmtId="165" fontId="8" fillId="0" borderId="40" xfId="0" applyNumberFormat="1" applyFont="1" applyBorder="1" applyAlignment="1">
      <alignment/>
    </xf>
    <xf numFmtId="165" fontId="8" fillId="2" borderId="40" xfId="0" applyNumberFormat="1" applyFont="1" applyFill="1" applyBorder="1" applyAlignment="1">
      <alignment horizontal="right"/>
    </xf>
    <xf numFmtId="165" fontId="8" fillId="0" borderId="40" xfId="0" applyNumberFormat="1" applyFont="1" applyFill="1" applyBorder="1" applyAlignment="1">
      <alignment horizontal="right"/>
    </xf>
    <xf numFmtId="165" fontId="8" fillId="0" borderId="40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164" fontId="8" fillId="2" borderId="1" xfId="0" applyNumberFormat="1" applyFont="1" applyFill="1" applyBorder="1" applyAlignment="1">
      <alignment/>
    </xf>
    <xf numFmtId="0" fontId="8" fillId="0" borderId="45" xfId="0" applyFont="1" applyBorder="1" applyAlignment="1">
      <alignment horizontal="center"/>
    </xf>
    <xf numFmtId="165" fontId="8" fillId="0" borderId="32" xfId="0" applyNumberFormat="1" applyFont="1" applyBorder="1" applyAlignment="1">
      <alignment/>
    </xf>
    <xf numFmtId="0" fontId="8" fillId="0" borderId="73" xfId="0" applyFont="1" applyBorder="1" applyAlignment="1">
      <alignment/>
    </xf>
    <xf numFmtId="165" fontId="8" fillId="2" borderId="32" xfId="0" applyNumberFormat="1" applyFont="1" applyFill="1" applyBorder="1" applyAlignment="1">
      <alignment horizontal="right"/>
    </xf>
    <xf numFmtId="165" fontId="8" fillId="0" borderId="32" xfId="0" applyNumberFormat="1" applyFont="1" applyFill="1" applyBorder="1" applyAlignment="1">
      <alignment horizontal="right"/>
    </xf>
    <xf numFmtId="165" fontId="8" fillId="0" borderId="32" xfId="0" applyNumberFormat="1" applyFont="1" applyFill="1" applyBorder="1" applyAlignment="1">
      <alignment/>
    </xf>
    <xf numFmtId="0" fontId="8" fillId="3" borderId="34" xfId="0" applyFont="1" applyFill="1" applyBorder="1" applyAlignment="1">
      <alignment horizontal="center"/>
    </xf>
    <xf numFmtId="165" fontId="8" fillId="2" borderId="45" xfId="0" applyNumberFormat="1" applyFont="1" applyFill="1" applyBorder="1" applyAlignment="1">
      <alignment/>
    </xf>
    <xf numFmtId="2" fontId="8" fillId="2" borderId="33" xfId="0" applyNumberFormat="1" applyFont="1" applyFill="1" applyBorder="1" applyAlignment="1">
      <alignment/>
    </xf>
    <xf numFmtId="0" fontId="8" fillId="0" borderId="54" xfId="0" applyFont="1" applyBorder="1" applyAlignment="1">
      <alignment/>
    </xf>
    <xf numFmtId="0" fontId="8" fillId="0" borderId="45" xfId="0" applyFont="1" applyBorder="1" applyAlignment="1">
      <alignment/>
    </xf>
    <xf numFmtId="164" fontId="8" fillId="2" borderId="26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165" fontId="8" fillId="0" borderId="10" xfId="0" applyNumberFormat="1" applyFont="1" applyBorder="1" applyAlignment="1">
      <alignment/>
    </xf>
    <xf numFmtId="0" fontId="8" fillId="0" borderId="5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165" fontId="8" fillId="0" borderId="7" xfId="0" applyNumberFormat="1" applyFont="1" applyFill="1" applyBorder="1" applyAlignment="1">
      <alignment horizontal="right"/>
    </xf>
    <xf numFmtId="2" fontId="8" fillId="2" borderId="4" xfId="0" applyNumberFormat="1" applyFont="1" applyFill="1" applyBorder="1" applyAlignment="1">
      <alignment/>
    </xf>
    <xf numFmtId="0" fontId="8" fillId="0" borderId="4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5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164" fontId="8" fillId="2" borderId="32" xfId="0" applyNumberFormat="1" applyFont="1" applyFill="1" applyBorder="1" applyAlignment="1">
      <alignment/>
    </xf>
    <xf numFmtId="1" fontId="8" fillId="2" borderId="0" xfId="0" applyNumberFormat="1" applyFont="1" applyFill="1" applyBorder="1" applyAlignment="1">
      <alignment/>
    </xf>
    <xf numFmtId="164" fontId="8" fillId="2" borderId="9" xfId="0" applyNumberFormat="1" applyFont="1" applyFill="1" applyBorder="1" applyAlignment="1">
      <alignment/>
    </xf>
    <xf numFmtId="165" fontId="8" fillId="2" borderId="26" xfId="0" applyNumberFormat="1" applyFont="1" applyFill="1" applyBorder="1" applyAlignment="1">
      <alignment/>
    </xf>
    <xf numFmtId="2" fontId="8" fillId="2" borderId="27" xfId="0" applyNumberFormat="1" applyFont="1" applyFill="1" applyBorder="1" applyAlignment="1">
      <alignment/>
    </xf>
    <xf numFmtId="0" fontId="8" fillId="0" borderId="68" xfId="0" applyFont="1" applyBorder="1" applyAlignment="1">
      <alignment horizontal="center"/>
    </xf>
    <xf numFmtId="165" fontId="8" fillId="2" borderId="13" xfId="0" applyNumberFormat="1" applyFont="1" applyFill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21" xfId="0" applyFont="1" applyFill="1" applyBorder="1" applyAlignment="1">
      <alignment/>
    </xf>
    <xf numFmtId="164" fontId="8" fillId="2" borderId="16" xfId="0" applyNumberFormat="1" applyFont="1" applyFill="1" applyBorder="1" applyAlignment="1">
      <alignment/>
    </xf>
    <xf numFmtId="0" fontId="8" fillId="0" borderId="76" xfId="0" applyFont="1" applyBorder="1" applyAlignment="1">
      <alignment horizontal="center"/>
    </xf>
    <xf numFmtId="165" fontId="8" fillId="2" borderId="27" xfId="0" applyNumberFormat="1" applyFont="1" applyFill="1" applyBorder="1" applyAlignment="1">
      <alignment/>
    </xf>
    <xf numFmtId="164" fontId="8" fillId="0" borderId="4" xfId="0" applyNumberFormat="1" applyFont="1" applyBorder="1" applyAlignment="1">
      <alignment/>
    </xf>
    <xf numFmtId="0" fontId="8" fillId="0" borderId="50" xfId="0" applyFont="1" applyBorder="1" applyAlignment="1">
      <alignment/>
    </xf>
    <xf numFmtId="165" fontId="8" fillId="2" borderId="42" xfId="0" applyNumberFormat="1" applyFont="1" applyFill="1" applyBorder="1" applyAlignment="1">
      <alignment/>
    </xf>
    <xf numFmtId="165" fontId="8" fillId="2" borderId="39" xfId="0" applyNumberFormat="1" applyFont="1" applyFill="1" applyBorder="1" applyAlignment="1">
      <alignment/>
    </xf>
    <xf numFmtId="0" fontId="8" fillId="0" borderId="43" xfId="0" applyFont="1" applyBorder="1" applyAlignment="1">
      <alignment/>
    </xf>
    <xf numFmtId="164" fontId="8" fillId="0" borderId="22" xfId="0" applyNumberFormat="1" applyFont="1" applyBorder="1" applyAlignment="1">
      <alignment/>
    </xf>
    <xf numFmtId="164" fontId="8" fillId="0" borderId="21" xfId="0" applyNumberFormat="1" applyFont="1" applyBorder="1" applyAlignment="1">
      <alignment horizontal="right"/>
    </xf>
    <xf numFmtId="0" fontId="8" fillId="0" borderId="68" xfId="0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/>
    </xf>
    <xf numFmtId="164" fontId="8" fillId="2" borderId="6" xfId="0" applyNumberFormat="1" applyFont="1" applyFill="1" applyBorder="1" applyAlignment="1">
      <alignment/>
    </xf>
    <xf numFmtId="2" fontId="8" fillId="2" borderId="19" xfId="0" applyNumberFormat="1" applyFont="1" applyFill="1" applyBorder="1" applyAlignment="1">
      <alignment/>
    </xf>
    <xf numFmtId="0" fontId="8" fillId="3" borderId="19" xfId="0" applyFont="1" applyFill="1" applyBorder="1" applyAlignment="1">
      <alignment horizontal="center"/>
    </xf>
    <xf numFmtId="165" fontId="8" fillId="2" borderId="68" xfId="0" applyNumberFormat="1" applyFont="1" applyFill="1" applyBorder="1" applyAlignment="1">
      <alignment/>
    </xf>
    <xf numFmtId="2" fontId="8" fillId="2" borderId="6" xfId="0" applyNumberFormat="1" applyFont="1" applyFill="1" applyBorder="1" applyAlignment="1">
      <alignment/>
    </xf>
    <xf numFmtId="0" fontId="8" fillId="0" borderId="68" xfId="0" applyFont="1" applyBorder="1" applyAlignment="1">
      <alignment/>
    </xf>
    <xf numFmtId="164" fontId="8" fillId="2" borderId="5" xfId="0" applyNumberFormat="1" applyFont="1" applyFill="1" applyBorder="1" applyAlignment="1">
      <alignment/>
    </xf>
    <xf numFmtId="2" fontId="8" fillId="2" borderId="3" xfId="0" applyNumberFormat="1" applyFont="1" applyFill="1" applyBorder="1" applyAlignment="1">
      <alignment/>
    </xf>
    <xf numFmtId="0" fontId="8" fillId="3" borderId="2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3" borderId="64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164" fontId="8" fillId="0" borderId="8" xfId="0" applyNumberFormat="1" applyFont="1" applyBorder="1" applyAlignment="1">
      <alignment/>
    </xf>
    <xf numFmtId="2" fontId="8" fillId="2" borderId="54" xfId="0" applyNumberFormat="1" applyFont="1" applyFill="1" applyBorder="1" applyAlignment="1">
      <alignment/>
    </xf>
    <xf numFmtId="165" fontId="8" fillId="2" borderId="54" xfId="0" applyNumberFormat="1" applyFont="1" applyFill="1" applyBorder="1" applyAlignment="1">
      <alignment/>
    </xf>
    <xf numFmtId="0" fontId="8" fillId="3" borderId="54" xfId="0" applyFont="1" applyFill="1" applyBorder="1" applyAlignment="1">
      <alignment horizontal="center"/>
    </xf>
    <xf numFmtId="2" fontId="8" fillId="2" borderId="21" xfId="0" applyNumberFormat="1" applyFont="1" applyFill="1" applyBorder="1" applyAlignment="1">
      <alignment/>
    </xf>
    <xf numFmtId="1" fontId="8" fillId="0" borderId="8" xfId="0" applyNumberFormat="1" applyFont="1" applyBorder="1" applyAlignment="1">
      <alignment/>
    </xf>
    <xf numFmtId="1" fontId="8" fillId="0" borderId="4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" fontId="8" fillId="2" borderId="22" xfId="0" applyNumberFormat="1" applyFont="1" applyFill="1" applyBorder="1" applyAlignment="1">
      <alignment/>
    </xf>
    <xf numFmtId="0" fontId="8" fillId="0" borderId="70" xfId="0" applyFont="1" applyBorder="1" applyAlignment="1">
      <alignment/>
    </xf>
    <xf numFmtId="2" fontId="8" fillId="0" borderId="32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/>
    </xf>
    <xf numFmtId="2" fontId="8" fillId="0" borderId="19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/>
    </xf>
    <xf numFmtId="2" fontId="8" fillId="0" borderId="65" xfId="0" applyNumberFormat="1" applyFont="1" applyFill="1" applyBorder="1" applyAlignment="1">
      <alignment/>
    </xf>
    <xf numFmtId="165" fontId="8" fillId="2" borderId="65" xfId="0" applyNumberFormat="1" applyFont="1" applyFill="1" applyBorder="1" applyAlignment="1">
      <alignment/>
    </xf>
    <xf numFmtId="0" fontId="8" fillId="3" borderId="65" xfId="0" applyFont="1" applyFill="1" applyBorder="1" applyAlignment="1">
      <alignment horizontal="center"/>
    </xf>
    <xf numFmtId="0" fontId="8" fillId="0" borderId="69" xfId="0" applyFont="1" applyBorder="1" applyAlignment="1">
      <alignment/>
    </xf>
    <xf numFmtId="0" fontId="8" fillId="0" borderId="77" xfId="0" applyFont="1" applyBorder="1" applyAlignment="1">
      <alignment/>
    </xf>
    <xf numFmtId="164" fontId="8" fillId="0" borderId="24" xfId="0" applyNumberFormat="1" applyFont="1" applyBorder="1" applyAlignment="1">
      <alignment horizontal="right"/>
    </xf>
    <xf numFmtId="2" fontId="4" fillId="4" borderId="16" xfId="0" applyNumberFormat="1" applyFont="1" applyFill="1" applyBorder="1" applyAlignment="1">
      <alignment/>
    </xf>
    <xf numFmtId="2" fontId="4" fillId="4" borderId="36" xfId="0" applyNumberFormat="1" applyFont="1" applyFill="1" applyBorder="1" applyAlignment="1">
      <alignment/>
    </xf>
    <xf numFmtId="165" fontId="4" fillId="4" borderId="16" xfId="0" applyNumberFormat="1" applyFont="1" applyFill="1" applyBorder="1" applyAlignment="1">
      <alignment/>
    </xf>
    <xf numFmtId="2" fontId="4" fillId="4" borderId="32" xfId="0" applyNumberFormat="1" applyFont="1" applyFill="1" applyBorder="1" applyAlignment="1">
      <alignment/>
    </xf>
    <xf numFmtId="0" fontId="4" fillId="4" borderId="2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5</xdr:row>
      <xdr:rowOff>57150</xdr:rowOff>
    </xdr:from>
    <xdr:to>
      <xdr:col>17</xdr:col>
      <xdr:colOff>9525</xdr:colOff>
      <xdr:row>5</xdr:row>
      <xdr:rowOff>57150</xdr:rowOff>
    </xdr:to>
    <xdr:sp>
      <xdr:nvSpPr>
        <xdr:cNvPr id="1" name="Line 4"/>
        <xdr:cNvSpPr>
          <a:spLocks/>
        </xdr:cNvSpPr>
      </xdr:nvSpPr>
      <xdr:spPr>
        <a:xfrm>
          <a:off x="3600450" y="9334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4</xdr:row>
      <xdr:rowOff>9525</xdr:rowOff>
    </xdr:from>
    <xdr:to>
      <xdr:col>11</xdr:col>
      <xdr:colOff>95250</xdr:colOff>
      <xdr:row>4</xdr:row>
      <xdr:rowOff>152400</xdr:rowOff>
    </xdr:to>
    <xdr:sp>
      <xdr:nvSpPr>
        <xdr:cNvPr id="2" name="AutoShape 7"/>
        <xdr:cNvSpPr>
          <a:spLocks/>
        </xdr:cNvSpPr>
      </xdr:nvSpPr>
      <xdr:spPr>
        <a:xfrm>
          <a:off x="3514725" y="609600"/>
          <a:ext cx="171450" cy="1428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4</xdr:row>
      <xdr:rowOff>0</xdr:rowOff>
    </xdr:from>
    <xdr:to>
      <xdr:col>17</xdr:col>
      <xdr:colOff>76200</xdr:colOff>
      <xdr:row>4</xdr:row>
      <xdr:rowOff>142875</xdr:rowOff>
    </xdr:to>
    <xdr:sp>
      <xdr:nvSpPr>
        <xdr:cNvPr id="3" name="AutoShape 8"/>
        <xdr:cNvSpPr>
          <a:spLocks/>
        </xdr:cNvSpPr>
      </xdr:nvSpPr>
      <xdr:spPr>
        <a:xfrm>
          <a:off x="5019675" y="600075"/>
          <a:ext cx="152400" cy="1428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13</xdr:row>
      <xdr:rowOff>28575</xdr:rowOff>
    </xdr:from>
    <xdr:to>
      <xdr:col>6</xdr:col>
      <xdr:colOff>342900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152650" y="20002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15</xdr:row>
      <xdr:rowOff>0</xdr:rowOff>
    </xdr:from>
    <xdr:to>
      <xdr:col>5</xdr:col>
      <xdr:colOff>38100</xdr:colOff>
      <xdr:row>15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419225" y="226695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9</xdr:col>
      <xdr:colOff>9525</xdr:colOff>
      <xdr:row>17</xdr:row>
      <xdr:rowOff>0</xdr:rowOff>
    </xdr:to>
    <xdr:sp>
      <xdr:nvSpPr>
        <xdr:cNvPr id="3" name="Line 4"/>
        <xdr:cNvSpPr>
          <a:spLocks/>
        </xdr:cNvSpPr>
      </xdr:nvSpPr>
      <xdr:spPr>
        <a:xfrm>
          <a:off x="1457325" y="2562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4" name="Line 5"/>
        <xdr:cNvSpPr>
          <a:spLocks/>
        </xdr:cNvSpPr>
      </xdr:nvSpPr>
      <xdr:spPr>
        <a:xfrm>
          <a:off x="1457325" y="2419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5" name="Line 6"/>
        <xdr:cNvSpPr>
          <a:spLocks/>
        </xdr:cNvSpPr>
      </xdr:nvSpPr>
      <xdr:spPr>
        <a:xfrm>
          <a:off x="2152650" y="2419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19050</xdr:rowOff>
    </xdr:from>
    <xdr:to>
      <xdr:col>11</xdr:col>
      <xdr:colOff>9525</xdr:colOff>
      <xdr:row>28</xdr:row>
      <xdr:rowOff>19050</xdr:rowOff>
    </xdr:to>
    <xdr:sp>
      <xdr:nvSpPr>
        <xdr:cNvPr id="6" name="Line 9"/>
        <xdr:cNvSpPr>
          <a:spLocks/>
        </xdr:cNvSpPr>
      </xdr:nvSpPr>
      <xdr:spPr>
        <a:xfrm>
          <a:off x="1466850" y="395287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15</xdr:row>
      <xdr:rowOff>9525</xdr:rowOff>
    </xdr:from>
    <xdr:to>
      <xdr:col>9</xdr:col>
      <xdr:colOff>38100</xdr:colOff>
      <xdr:row>15</xdr:row>
      <xdr:rowOff>76200</xdr:rowOff>
    </xdr:to>
    <xdr:sp>
      <xdr:nvSpPr>
        <xdr:cNvPr id="7" name="AutoShape 10"/>
        <xdr:cNvSpPr>
          <a:spLocks/>
        </xdr:cNvSpPr>
      </xdr:nvSpPr>
      <xdr:spPr>
        <a:xfrm>
          <a:off x="2838450" y="227647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9525</xdr:rowOff>
    </xdr:from>
    <xdr:to>
      <xdr:col>5</xdr:col>
      <xdr:colOff>47625</xdr:colOff>
      <xdr:row>27</xdr:row>
      <xdr:rowOff>76200</xdr:rowOff>
    </xdr:to>
    <xdr:sp>
      <xdr:nvSpPr>
        <xdr:cNvPr id="8" name="AutoShape 11"/>
        <xdr:cNvSpPr>
          <a:spLocks/>
        </xdr:cNvSpPr>
      </xdr:nvSpPr>
      <xdr:spPr>
        <a:xfrm>
          <a:off x="1428750" y="381952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27</xdr:row>
      <xdr:rowOff>9525</xdr:rowOff>
    </xdr:from>
    <xdr:to>
      <xdr:col>11</xdr:col>
      <xdr:colOff>38100</xdr:colOff>
      <xdr:row>27</xdr:row>
      <xdr:rowOff>76200</xdr:rowOff>
    </xdr:to>
    <xdr:sp>
      <xdr:nvSpPr>
        <xdr:cNvPr id="9" name="AutoShape 12"/>
        <xdr:cNvSpPr>
          <a:spLocks/>
        </xdr:cNvSpPr>
      </xdr:nvSpPr>
      <xdr:spPr>
        <a:xfrm>
          <a:off x="3533775" y="381952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28575</xdr:rowOff>
    </xdr:from>
    <xdr:to>
      <xdr:col>6</xdr:col>
      <xdr:colOff>0</xdr:colOff>
      <xdr:row>49</xdr:row>
      <xdr:rowOff>0</xdr:rowOff>
    </xdr:to>
    <xdr:sp>
      <xdr:nvSpPr>
        <xdr:cNvPr id="10" name="Line 13"/>
        <xdr:cNvSpPr>
          <a:spLocks/>
        </xdr:cNvSpPr>
      </xdr:nvSpPr>
      <xdr:spPr>
        <a:xfrm flipH="1">
          <a:off x="1809750" y="6200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" name="Line 14"/>
        <xdr:cNvSpPr>
          <a:spLocks/>
        </xdr:cNvSpPr>
      </xdr:nvSpPr>
      <xdr:spPr>
        <a:xfrm>
          <a:off x="1466850" y="6677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2" name="Line 15"/>
        <xdr:cNvSpPr>
          <a:spLocks/>
        </xdr:cNvSpPr>
      </xdr:nvSpPr>
      <xdr:spPr>
        <a:xfrm>
          <a:off x="1457325" y="65627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0</xdr:rowOff>
    </xdr:from>
    <xdr:to>
      <xdr:col>11</xdr:col>
      <xdr:colOff>0</xdr:colOff>
      <xdr:row>50</xdr:row>
      <xdr:rowOff>0</xdr:rowOff>
    </xdr:to>
    <xdr:sp>
      <xdr:nvSpPr>
        <xdr:cNvPr id="13" name="Line 16"/>
        <xdr:cNvSpPr>
          <a:spLocks/>
        </xdr:cNvSpPr>
      </xdr:nvSpPr>
      <xdr:spPr>
        <a:xfrm>
          <a:off x="1819275" y="65627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49</xdr:row>
      <xdr:rowOff>9525</xdr:rowOff>
    </xdr:from>
    <xdr:to>
      <xdr:col>5</xdr:col>
      <xdr:colOff>38100</xdr:colOff>
      <xdr:row>49</xdr:row>
      <xdr:rowOff>76200</xdr:rowOff>
    </xdr:to>
    <xdr:sp>
      <xdr:nvSpPr>
        <xdr:cNvPr id="14" name="AutoShape 17"/>
        <xdr:cNvSpPr>
          <a:spLocks/>
        </xdr:cNvSpPr>
      </xdr:nvSpPr>
      <xdr:spPr>
        <a:xfrm>
          <a:off x="1419225" y="644842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49</xdr:row>
      <xdr:rowOff>9525</xdr:rowOff>
    </xdr:from>
    <xdr:to>
      <xdr:col>11</xdr:col>
      <xdr:colOff>38100</xdr:colOff>
      <xdr:row>49</xdr:row>
      <xdr:rowOff>76200</xdr:rowOff>
    </xdr:to>
    <xdr:sp>
      <xdr:nvSpPr>
        <xdr:cNvPr id="15" name="AutoShape 18"/>
        <xdr:cNvSpPr>
          <a:spLocks/>
        </xdr:cNvSpPr>
      </xdr:nvSpPr>
      <xdr:spPr>
        <a:xfrm>
          <a:off x="3533775" y="644842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19050</xdr:rowOff>
    </xdr:from>
    <xdr:to>
      <xdr:col>11</xdr:col>
      <xdr:colOff>9525</xdr:colOff>
      <xdr:row>67</xdr:row>
      <xdr:rowOff>19050</xdr:rowOff>
    </xdr:to>
    <xdr:sp>
      <xdr:nvSpPr>
        <xdr:cNvPr id="16" name="Line 19"/>
        <xdr:cNvSpPr>
          <a:spLocks/>
        </xdr:cNvSpPr>
      </xdr:nvSpPr>
      <xdr:spPr>
        <a:xfrm>
          <a:off x="1466850" y="860107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66</xdr:row>
      <xdr:rowOff>9525</xdr:rowOff>
    </xdr:from>
    <xdr:to>
      <xdr:col>5</xdr:col>
      <xdr:colOff>47625</xdr:colOff>
      <xdr:row>66</xdr:row>
      <xdr:rowOff>76200</xdr:rowOff>
    </xdr:to>
    <xdr:sp>
      <xdr:nvSpPr>
        <xdr:cNvPr id="17" name="AutoShape 20"/>
        <xdr:cNvSpPr>
          <a:spLocks/>
        </xdr:cNvSpPr>
      </xdr:nvSpPr>
      <xdr:spPr>
        <a:xfrm>
          <a:off x="1428750" y="846772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66</xdr:row>
      <xdr:rowOff>9525</xdr:rowOff>
    </xdr:from>
    <xdr:to>
      <xdr:col>11</xdr:col>
      <xdr:colOff>38100</xdr:colOff>
      <xdr:row>66</xdr:row>
      <xdr:rowOff>76200</xdr:rowOff>
    </xdr:to>
    <xdr:sp>
      <xdr:nvSpPr>
        <xdr:cNvPr id="18" name="AutoShape 21"/>
        <xdr:cNvSpPr>
          <a:spLocks/>
        </xdr:cNvSpPr>
      </xdr:nvSpPr>
      <xdr:spPr>
        <a:xfrm>
          <a:off x="3533775" y="846772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99</xdr:row>
      <xdr:rowOff>19050</xdr:rowOff>
    </xdr:from>
    <xdr:to>
      <xdr:col>11</xdr:col>
      <xdr:colOff>9525</xdr:colOff>
      <xdr:row>99</xdr:row>
      <xdr:rowOff>19050</xdr:rowOff>
    </xdr:to>
    <xdr:sp>
      <xdr:nvSpPr>
        <xdr:cNvPr id="19" name="Line 22"/>
        <xdr:cNvSpPr>
          <a:spLocks/>
        </xdr:cNvSpPr>
      </xdr:nvSpPr>
      <xdr:spPr>
        <a:xfrm>
          <a:off x="1466850" y="12392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98</xdr:row>
      <xdr:rowOff>9525</xdr:rowOff>
    </xdr:from>
    <xdr:to>
      <xdr:col>5</xdr:col>
      <xdr:colOff>47625</xdr:colOff>
      <xdr:row>98</xdr:row>
      <xdr:rowOff>76200</xdr:rowOff>
    </xdr:to>
    <xdr:sp>
      <xdr:nvSpPr>
        <xdr:cNvPr id="20" name="AutoShape 23"/>
        <xdr:cNvSpPr>
          <a:spLocks/>
        </xdr:cNvSpPr>
      </xdr:nvSpPr>
      <xdr:spPr>
        <a:xfrm>
          <a:off x="1428750" y="1225867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98</xdr:row>
      <xdr:rowOff>9525</xdr:rowOff>
    </xdr:from>
    <xdr:to>
      <xdr:col>11</xdr:col>
      <xdr:colOff>38100</xdr:colOff>
      <xdr:row>98</xdr:row>
      <xdr:rowOff>76200</xdr:rowOff>
    </xdr:to>
    <xdr:sp>
      <xdr:nvSpPr>
        <xdr:cNvPr id="21" name="AutoShape 24"/>
        <xdr:cNvSpPr>
          <a:spLocks/>
        </xdr:cNvSpPr>
      </xdr:nvSpPr>
      <xdr:spPr>
        <a:xfrm>
          <a:off x="3533775" y="1225867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14</xdr:row>
      <xdr:rowOff>28575</xdr:rowOff>
    </xdr:from>
    <xdr:to>
      <xdr:col>6</xdr:col>
      <xdr:colOff>342900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152650" y="2047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16</xdr:row>
      <xdr:rowOff>0</xdr:rowOff>
    </xdr:from>
    <xdr:to>
      <xdr:col>5</xdr:col>
      <xdr:colOff>38100</xdr:colOff>
      <xdr:row>16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419225" y="231457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9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1457325" y="26098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1457325" y="2466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2152650" y="2466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19050</xdr:rowOff>
    </xdr:from>
    <xdr:to>
      <xdr:col>11</xdr:col>
      <xdr:colOff>9525</xdr:colOff>
      <xdr:row>29</xdr:row>
      <xdr:rowOff>19050</xdr:rowOff>
    </xdr:to>
    <xdr:sp>
      <xdr:nvSpPr>
        <xdr:cNvPr id="6" name="Line 6"/>
        <xdr:cNvSpPr>
          <a:spLocks/>
        </xdr:cNvSpPr>
      </xdr:nvSpPr>
      <xdr:spPr>
        <a:xfrm>
          <a:off x="1466850" y="425767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16</xdr:row>
      <xdr:rowOff>9525</xdr:rowOff>
    </xdr:from>
    <xdr:to>
      <xdr:col>9</xdr:col>
      <xdr:colOff>38100</xdr:colOff>
      <xdr:row>16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2838450" y="232410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9525</xdr:rowOff>
    </xdr:from>
    <xdr:to>
      <xdr:col>5</xdr:col>
      <xdr:colOff>47625</xdr:colOff>
      <xdr:row>28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1428750" y="409575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28</xdr:row>
      <xdr:rowOff>9525</xdr:rowOff>
    </xdr:from>
    <xdr:to>
      <xdr:col>11</xdr:col>
      <xdr:colOff>38100</xdr:colOff>
      <xdr:row>28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3533775" y="409575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28575</xdr:rowOff>
    </xdr:from>
    <xdr:to>
      <xdr:col>6</xdr:col>
      <xdr:colOff>0</xdr:colOff>
      <xdr:row>53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809750" y="7496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0</xdr:rowOff>
    </xdr:from>
    <xdr:to>
      <xdr:col>11</xdr:col>
      <xdr:colOff>9525</xdr:colOff>
      <xdr:row>55</xdr:row>
      <xdr:rowOff>0</xdr:rowOff>
    </xdr:to>
    <xdr:sp>
      <xdr:nvSpPr>
        <xdr:cNvPr id="11" name="Line 11"/>
        <xdr:cNvSpPr>
          <a:spLocks/>
        </xdr:cNvSpPr>
      </xdr:nvSpPr>
      <xdr:spPr>
        <a:xfrm>
          <a:off x="1466850" y="80581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12" name="Line 12"/>
        <xdr:cNvSpPr>
          <a:spLocks/>
        </xdr:cNvSpPr>
      </xdr:nvSpPr>
      <xdr:spPr>
        <a:xfrm>
          <a:off x="1457325" y="79152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13" name="Line 13"/>
        <xdr:cNvSpPr>
          <a:spLocks/>
        </xdr:cNvSpPr>
      </xdr:nvSpPr>
      <xdr:spPr>
        <a:xfrm>
          <a:off x="1819275" y="79152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53</xdr:row>
      <xdr:rowOff>9525</xdr:rowOff>
    </xdr:from>
    <xdr:to>
      <xdr:col>5</xdr:col>
      <xdr:colOff>38100</xdr:colOff>
      <xdr:row>53</xdr:row>
      <xdr:rowOff>76200</xdr:rowOff>
    </xdr:to>
    <xdr:sp>
      <xdr:nvSpPr>
        <xdr:cNvPr id="14" name="AutoShape 14"/>
        <xdr:cNvSpPr>
          <a:spLocks/>
        </xdr:cNvSpPr>
      </xdr:nvSpPr>
      <xdr:spPr>
        <a:xfrm>
          <a:off x="1419225" y="777240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53</xdr:row>
      <xdr:rowOff>9525</xdr:rowOff>
    </xdr:from>
    <xdr:to>
      <xdr:col>11</xdr:col>
      <xdr:colOff>38100</xdr:colOff>
      <xdr:row>53</xdr:row>
      <xdr:rowOff>76200</xdr:rowOff>
    </xdr:to>
    <xdr:sp>
      <xdr:nvSpPr>
        <xdr:cNvPr id="15" name="AutoShape 15"/>
        <xdr:cNvSpPr>
          <a:spLocks/>
        </xdr:cNvSpPr>
      </xdr:nvSpPr>
      <xdr:spPr>
        <a:xfrm>
          <a:off x="3533775" y="777240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71</xdr:row>
      <xdr:rowOff>19050</xdr:rowOff>
    </xdr:from>
    <xdr:to>
      <xdr:col>11</xdr:col>
      <xdr:colOff>9525</xdr:colOff>
      <xdr:row>71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1466850" y="104584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70</xdr:row>
      <xdr:rowOff>9525</xdr:rowOff>
    </xdr:from>
    <xdr:to>
      <xdr:col>5</xdr:col>
      <xdr:colOff>47625</xdr:colOff>
      <xdr:row>70</xdr:row>
      <xdr:rowOff>76200</xdr:rowOff>
    </xdr:to>
    <xdr:sp>
      <xdr:nvSpPr>
        <xdr:cNvPr id="17" name="AutoShape 17"/>
        <xdr:cNvSpPr>
          <a:spLocks/>
        </xdr:cNvSpPr>
      </xdr:nvSpPr>
      <xdr:spPr>
        <a:xfrm>
          <a:off x="1428750" y="1029652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70</xdr:row>
      <xdr:rowOff>9525</xdr:rowOff>
    </xdr:from>
    <xdr:to>
      <xdr:col>11</xdr:col>
      <xdr:colOff>38100</xdr:colOff>
      <xdr:row>70</xdr:row>
      <xdr:rowOff>76200</xdr:rowOff>
    </xdr:to>
    <xdr:sp>
      <xdr:nvSpPr>
        <xdr:cNvPr id="18" name="AutoShape 18"/>
        <xdr:cNvSpPr>
          <a:spLocks/>
        </xdr:cNvSpPr>
      </xdr:nvSpPr>
      <xdr:spPr>
        <a:xfrm>
          <a:off x="3533775" y="1029652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19050</xdr:rowOff>
    </xdr:from>
    <xdr:to>
      <xdr:col>11</xdr:col>
      <xdr:colOff>9525</xdr:colOff>
      <xdr:row>89</xdr:row>
      <xdr:rowOff>19050</xdr:rowOff>
    </xdr:to>
    <xdr:sp>
      <xdr:nvSpPr>
        <xdr:cNvPr id="19" name="Line 19"/>
        <xdr:cNvSpPr>
          <a:spLocks/>
        </xdr:cNvSpPr>
      </xdr:nvSpPr>
      <xdr:spPr>
        <a:xfrm>
          <a:off x="1466850" y="131254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88</xdr:row>
      <xdr:rowOff>9525</xdr:rowOff>
    </xdr:from>
    <xdr:to>
      <xdr:col>5</xdr:col>
      <xdr:colOff>47625</xdr:colOff>
      <xdr:row>88</xdr:row>
      <xdr:rowOff>76200</xdr:rowOff>
    </xdr:to>
    <xdr:sp>
      <xdr:nvSpPr>
        <xdr:cNvPr id="20" name="AutoShape 20"/>
        <xdr:cNvSpPr>
          <a:spLocks/>
        </xdr:cNvSpPr>
      </xdr:nvSpPr>
      <xdr:spPr>
        <a:xfrm>
          <a:off x="1428750" y="1296352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88</xdr:row>
      <xdr:rowOff>9525</xdr:rowOff>
    </xdr:from>
    <xdr:to>
      <xdr:col>11</xdr:col>
      <xdr:colOff>38100</xdr:colOff>
      <xdr:row>88</xdr:row>
      <xdr:rowOff>76200</xdr:rowOff>
    </xdr:to>
    <xdr:sp>
      <xdr:nvSpPr>
        <xdr:cNvPr id="21" name="AutoShape 21"/>
        <xdr:cNvSpPr>
          <a:spLocks/>
        </xdr:cNvSpPr>
      </xdr:nvSpPr>
      <xdr:spPr>
        <a:xfrm>
          <a:off x="3533775" y="1296352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14</xdr:row>
      <xdr:rowOff>28575</xdr:rowOff>
    </xdr:from>
    <xdr:to>
      <xdr:col>6</xdr:col>
      <xdr:colOff>342900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152650" y="2047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16</xdr:row>
      <xdr:rowOff>0</xdr:rowOff>
    </xdr:from>
    <xdr:to>
      <xdr:col>5</xdr:col>
      <xdr:colOff>38100</xdr:colOff>
      <xdr:row>16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419225" y="231457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9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1457325" y="26098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1457325" y="2466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2152650" y="2466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19050</xdr:rowOff>
    </xdr:from>
    <xdr:to>
      <xdr:col>11</xdr:col>
      <xdr:colOff>9525</xdr:colOff>
      <xdr:row>29</xdr:row>
      <xdr:rowOff>19050</xdr:rowOff>
    </xdr:to>
    <xdr:sp>
      <xdr:nvSpPr>
        <xdr:cNvPr id="6" name="Line 6"/>
        <xdr:cNvSpPr>
          <a:spLocks/>
        </xdr:cNvSpPr>
      </xdr:nvSpPr>
      <xdr:spPr>
        <a:xfrm>
          <a:off x="1466850" y="4257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16</xdr:row>
      <xdr:rowOff>9525</xdr:rowOff>
    </xdr:from>
    <xdr:to>
      <xdr:col>9</xdr:col>
      <xdr:colOff>38100</xdr:colOff>
      <xdr:row>16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2838450" y="232410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9525</xdr:rowOff>
    </xdr:from>
    <xdr:to>
      <xdr:col>5</xdr:col>
      <xdr:colOff>47625</xdr:colOff>
      <xdr:row>28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1428750" y="409575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28</xdr:row>
      <xdr:rowOff>9525</xdr:rowOff>
    </xdr:from>
    <xdr:to>
      <xdr:col>11</xdr:col>
      <xdr:colOff>38100</xdr:colOff>
      <xdr:row>28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3495675" y="409575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28575</xdr:rowOff>
    </xdr:from>
    <xdr:to>
      <xdr:col>6</xdr:col>
      <xdr:colOff>0</xdr:colOff>
      <xdr:row>51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809750" y="72199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53</xdr:row>
      <xdr:rowOff>0</xdr:rowOff>
    </xdr:from>
    <xdr:to>
      <xdr:col>11</xdr:col>
      <xdr:colOff>9525</xdr:colOff>
      <xdr:row>53</xdr:row>
      <xdr:rowOff>0</xdr:rowOff>
    </xdr:to>
    <xdr:sp>
      <xdr:nvSpPr>
        <xdr:cNvPr id="11" name="Line 11"/>
        <xdr:cNvSpPr>
          <a:spLocks/>
        </xdr:cNvSpPr>
      </xdr:nvSpPr>
      <xdr:spPr>
        <a:xfrm>
          <a:off x="1466850" y="7781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" name="Line 12"/>
        <xdr:cNvSpPr>
          <a:spLocks/>
        </xdr:cNvSpPr>
      </xdr:nvSpPr>
      <xdr:spPr>
        <a:xfrm>
          <a:off x="1457325" y="76390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3" name="Line 13"/>
        <xdr:cNvSpPr>
          <a:spLocks/>
        </xdr:cNvSpPr>
      </xdr:nvSpPr>
      <xdr:spPr>
        <a:xfrm>
          <a:off x="1819275" y="7639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51</xdr:row>
      <xdr:rowOff>9525</xdr:rowOff>
    </xdr:from>
    <xdr:to>
      <xdr:col>5</xdr:col>
      <xdr:colOff>38100</xdr:colOff>
      <xdr:row>51</xdr:row>
      <xdr:rowOff>76200</xdr:rowOff>
    </xdr:to>
    <xdr:sp>
      <xdr:nvSpPr>
        <xdr:cNvPr id="14" name="AutoShape 14"/>
        <xdr:cNvSpPr>
          <a:spLocks/>
        </xdr:cNvSpPr>
      </xdr:nvSpPr>
      <xdr:spPr>
        <a:xfrm>
          <a:off x="1419225" y="749617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51</xdr:row>
      <xdr:rowOff>9525</xdr:rowOff>
    </xdr:from>
    <xdr:to>
      <xdr:col>11</xdr:col>
      <xdr:colOff>38100</xdr:colOff>
      <xdr:row>51</xdr:row>
      <xdr:rowOff>76200</xdr:rowOff>
    </xdr:to>
    <xdr:sp>
      <xdr:nvSpPr>
        <xdr:cNvPr id="15" name="AutoShape 15"/>
        <xdr:cNvSpPr>
          <a:spLocks/>
        </xdr:cNvSpPr>
      </xdr:nvSpPr>
      <xdr:spPr>
        <a:xfrm>
          <a:off x="3495675" y="749617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69</xdr:row>
      <xdr:rowOff>19050</xdr:rowOff>
    </xdr:from>
    <xdr:to>
      <xdr:col>11</xdr:col>
      <xdr:colOff>9525</xdr:colOff>
      <xdr:row>69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1466850" y="1018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68</xdr:row>
      <xdr:rowOff>9525</xdr:rowOff>
    </xdr:from>
    <xdr:to>
      <xdr:col>5</xdr:col>
      <xdr:colOff>47625</xdr:colOff>
      <xdr:row>68</xdr:row>
      <xdr:rowOff>76200</xdr:rowOff>
    </xdr:to>
    <xdr:sp>
      <xdr:nvSpPr>
        <xdr:cNvPr id="17" name="AutoShape 17"/>
        <xdr:cNvSpPr>
          <a:spLocks/>
        </xdr:cNvSpPr>
      </xdr:nvSpPr>
      <xdr:spPr>
        <a:xfrm>
          <a:off x="1428750" y="1002030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68</xdr:row>
      <xdr:rowOff>9525</xdr:rowOff>
    </xdr:from>
    <xdr:to>
      <xdr:col>11</xdr:col>
      <xdr:colOff>38100</xdr:colOff>
      <xdr:row>68</xdr:row>
      <xdr:rowOff>76200</xdr:rowOff>
    </xdr:to>
    <xdr:sp>
      <xdr:nvSpPr>
        <xdr:cNvPr id="18" name="AutoShape 18"/>
        <xdr:cNvSpPr>
          <a:spLocks/>
        </xdr:cNvSpPr>
      </xdr:nvSpPr>
      <xdr:spPr>
        <a:xfrm>
          <a:off x="3495675" y="1002030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19050</xdr:rowOff>
    </xdr:from>
    <xdr:to>
      <xdr:col>11</xdr:col>
      <xdr:colOff>9525</xdr:colOff>
      <xdr:row>87</xdr:row>
      <xdr:rowOff>19050</xdr:rowOff>
    </xdr:to>
    <xdr:sp>
      <xdr:nvSpPr>
        <xdr:cNvPr id="19" name="Line 19"/>
        <xdr:cNvSpPr>
          <a:spLocks/>
        </xdr:cNvSpPr>
      </xdr:nvSpPr>
      <xdr:spPr>
        <a:xfrm>
          <a:off x="1466850" y="12849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86</xdr:row>
      <xdr:rowOff>9525</xdr:rowOff>
    </xdr:from>
    <xdr:to>
      <xdr:col>5</xdr:col>
      <xdr:colOff>47625</xdr:colOff>
      <xdr:row>86</xdr:row>
      <xdr:rowOff>76200</xdr:rowOff>
    </xdr:to>
    <xdr:sp>
      <xdr:nvSpPr>
        <xdr:cNvPr id="20" name="AutoShape 20"/>
        <xdr:cNvSpPr>
          <a:spLocks/>
        </xdr:cNvSpPr>
      </xdr:nvSpPr>
      <xdr:spPr>
        <a:xfrm>
          <a:off x="1428750" y="1268730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86</xdr:row>
      <xdr:rowOff>9525</xdr:rowOff>
    </xdr:from>
    <xdr:to>
      <xdr:col>11</xdr:col>
      <xdr:colOff>38100</xdr:colOff>
      <xdr:row>86</xdr:row>
      <xdr:rowOff>76200</xdr:rowOff>
    </xdr:to>
    <xdr:sp>
      <xdr:nvSpPr>
        <xdr:cNvPr id="21" name="AutoShape 21"/>
        <xdr:cNvSpPr>
          <a:spLocks/>
        </xdr:cNvSpPr>
      </xdr:nvSpPr>
      <xdr:spPr>
        <a:xfrm>
          <a:off x="3495675" y="1268730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14</xdr:row>
      <xdr:rowOff>28575</xdr:rowOff>
    </xdr:from>
    <xdr:to>
      <xdr:col>6</xdr:col>
      <xdr:colOff>342900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152650" y="2047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16</xdr:row>
      <xdr:rowOff>0</xdr:rowOff>
    </xdr:from>
    <xdr:to>
      <xdr:col>5</xdr:col>
      <xdr:colOff>38100</xdr:colOff>
      <xdr:row>16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419225" y="231457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9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1457325" y="26098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1457325" y="2466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2152650" y="2466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19050</xdr:rowOff>
    </xdr:from>
    <xdr:to>
      <xdr:col>11</xdr:col>
      <xdr:colOff>9525</xdr:colOff>
      <xdr:row>29</xdr:row>
      <xdr:rowOff>19050</xdr:rowOff>
    </xdr:to>
    <xdr:sp>
      <xdr:nvSpPr>
        <xdr:cNvPr id="6" name="Line 6"/>
        <xdr:cNvSpPr>
          <a:spLocks/>
        </xdr:cNvSpPr>
      </xdr:nvSpPr>
      <xdr:spPr>
        <a:xfrm>
          <a:off x="1466850" y="425767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16</xdr:row>
      <xdr:rowOff>9525</xdr:rowOff>
    </xdr:from>
    <xdr:to>
      <xdr:col>9</xdr:col>
      <xdr:colOff>38100</xdr:colOff>
      <xdr:row>16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2838450" y="232410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9525</xdr:rowOff>
    </xdr:from>
    <xdr:to>
      <xdr:col>5</xdr:col>
      <xdr:colOff>47625</xdr:colOff>
      <xdr:row>28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1428750" y="409575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28</xdr:row>
      <xdr:rowOff>9525</xdr:rowOff>
    </xdr:from>
    <xdr:to>
      <xdr:col>11</xdr:col>
      <xdr:colOff>38100</xdr:colOff>
      <xdr:row>28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3533775" y="409575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28575</xdr:rowOff>
    </xdr:from>
    <xdr:to>
      <xdr:col>6</xdr:col>
      <xdr:colOff>0</xdr:colOff>
      <xdr:row>51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809750" y="72199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53</xdr:row>
      <xdr:rowOff>0</xdr:rowOff>
    </xdr:from>
    <xdr:to>
      <xdr:col>11</xdr:col>
      <xdr:colOff>9525</xdr:colOff>
      <xdr:row>53</xdr:row>
      <xdr:rowOff>0</xdr:rowOff>
    </xdr:to>
    <xdr:sp>
      <xdr:nvSpPr>
        <xdr:cNvPr id="11" name="Line 11"/>
        <xdr:cNvSpPr>
          <a:spLocks/>
        </xdr:cNvSpPr>
      </xdr:nvSpPr>
      <xdr:spPr>
        <a:xfrm>
          <a:off x="1466850" y="77819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" name="Line 12"/>
        <xdr:cNvSpPr>
          <a:spLocks/>
        </xdr:cNvSpPr>
      </xdr:nvSpPr>
      <xdr:spPr>
        <a:xfrm>
          <a:off x="1457325" y="76390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3" name="Line 13"/>
        <xdr:cNvSpPr>
          <a:spLocks/>
        </xdr:cNvSpPr>
      </xdr:nvSpPr>
      <xdr:spPr>
        <a:xfrm>
          <a:off x="1819275" y="76390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51</xdr:row>
      <xdr:rowOff>9525</xdr:rowOff>
    </xdr:from>
    <xdr:to>
      <xdr:col>5</xdr:col>
      <xdr:colOff>38100</xdr:colOff>
      <xdr:row>51</xdr:row>
      <xdr:rowOff>76200</xdr:rowOff>
    </xdr:to>
    <xdr:sp>
      <xdr:nvSpPr>
        <xdr:cNvPr id="14" name="AutoShape 14"/>
        <xdr:cNvSpPr>
          <a:spLocks/>
        </xdr:cNvSpPr>
      </xdr:nvSpPr>
      <xdr:spPr>
        <a:xfrm>
          <a:off x="1419225" y="749617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51</xdr:row>
      <xdr:rowOff>9525</xdr:rowOff>
    </xdr:from>
    <xdr:to>
      <xdr:col>11</xdr:col>
      <xdr:colOff>38100</xdr:colOff>
      <xdr:row>51</xdr:row>
      <xdr:rowOff>76200</xdr:rowOff>
    </xdr:to>
    <xdr:sp>
      <xdr:nvSpPr>
        <xdr:cNvPr id="15" name="AutoShape 15"/>
        <xdr:cNvSpPr>
          <a:spLocks/>
        </xdr:cNvSpPr>
      </xdr:nvSpPr>
      <xdr:spPr>
        <a:xfrm>
          <a:off x="3533775" y="749617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69</xdr:row>
      <xdr:rowOff>19050</xdr:rowOff>
    </xdr:from>
    <xdr:to>
      <xdr:col>11</xdr:col>
      <xdr:colOff>9525</xdr:colOff>
      <xdr:row>69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1466850" y="101822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68</xdr:row>
      <xdr:rowOff>9525</xdr:rowOff>
    </xdr:from>
    <xdr:to>
      <xdr:col>5</xdr:col>
      <xdr:colOff>47625</xdr:colOff>
      <xdr:row>68</xdr:row>
      <xdr:rowOff>76200</xdr:rowOff>
    </xdr:to>
    <xdr:sp>
      <xdr:nvSpPr>
        <xdr:cNvPr id="17" name="AutoShape 17"/>
        <xdr:cNvSpPr>
          <a:spLocks/>
        </xdr:cNvSpPr>
      </xdr:nvSpPr>
      <xdr:spPr>
        <a:xfrm>
          <a:off x="1428750" y="1002030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68</xdr:row>
      <xdr:rowOff>9525</xdr:rowOff>
    </xdr:from>
    <xdr:to>
      <xdr:col>11</xdr:col>
      <xdr:colOff>38100</xdr:colOff>
      <xdr:row>68</xdr:row>
      <xdr:rowOff>76200</xdr:rowOff>
    </xdr:to>
    <xdr:sp>
      <xdr:nvSpPr>
        <xdr:cNvPr id="18" name="AutoShape 18"/>
        <xdr:cNvSpPr>
          <a:spLocks/>
        </xdr:cNvSpPr>
      </xdr:nvSpPr>
      <xdr:spPr>
        <a:xfrm>
          <a:off x="3533775" y="1002030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19050</xdr:rowOff>
    </xdr:from>
    <xdr:to>
      <xdr:col>11</xdr:col>
      <xdr:colOff>9525</xdr:colOff>
      <xdr:row>87</xdr:row>
      <xdr:rowOff>19050</xdr:rowOff>
    </xdr:to>
    <xdr:sp>
      <xdr:nvSpPr>
        <xdr:cNvPr id="19" name="Line 19"/>
        <xdr:cNvSpPr>
          <a:spLocks/>
        </xdr:cNvSpPr>
      </xdr:nvSpPr>
      <xdr:spPr>
        <a:xfrm>
          <a:off x="1466850" y="128492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86</xdr:row>
      <xdr:rowOff>9525</xdr:rowOff>
    </xdr:from>
    <xdr:to>
      <xdr:col>5</xdr:col>
      <xdr:colOff>47625</xdr:colOff>
      <xdr:row>86</xdr:row>
      <xdr:rowOff>76200</xdr:rowOff>
    </xdr:to>
    <xdr:sp>
      <xdr:nvSpPr>
        <xdr:cNvPr id="20" name="AutoShape 20"/>
        <xdr:cNvSpPr>
          <a:spLocks/>
        </xdr:cNvSpPr>
      </xdr:nvSpPr>
      <xdr:spPr>
        <a:xfrm>
          <a:off x="1428750" y="1268730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86</xdr:row>
      <xdr:rowOff>9525</xdr:rowOff>
    </xdr:from>
    <xdr:to>
      <xdr:col>11</xdr:col>
      <xdr:colOff>38100</xdr:colOff>
      <xdr:row>86</xdr:row>
      <xdr:rowOff>76200</xdr:rowOff>
    </xdr:to>
    <xdr:sp>
      <xdr:nvSpPr>
        <xdr:cNvPr id="21" name="AutoShape 21"/>
        <xdr:cNvSpPr>
          <a:spLocks/>
        </xdr:cNvSpPr>
      </xdr:nvSpPr>
      <xdr:spPr>
        <a:xfrm>
          <a:off x="3533775" y="1268730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14</xdr:row>
      <xdr:rowOff>28575</xdr:rowOff>
    </xdr:from>
    <xdr:to>
      <xdr:col>6</xdr:col>
      <xdr:colOff>342900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152650" y="2047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16</xdr:row>
      <xdr:rowOff>0</xdr:rowOff>
    </xdr:from>
    <xdr:to>
      <xdr:col>5</xdr:col>
      <xdr:colOff>38100</xdr:colOff>
      <xdr:row>16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419225" y="231457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9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1457325" y="26098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1457325" y="2466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2152650" y="2466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19050</xdr:rowOff>
    </xdr:from>
    <xdr:to>
      <xdr:col>11</xdr:col>
      <xdr:colOff>9525</xdr:colOff>
      <xdr:row>29</xdr:row>
      <xdr:rowOff>19050</xdr:rowOff>
    </xdr:to>
    <xdr:sp>
      <xdr:nvSpPr>
        <xdr:cNvPr id="6" name="Line 6"/>
        <xdr:cNvSpPr>
          <a:spLocks/>
        </xdr:cNvSpPr>
      </xdr:nvSpPr>
      <xdr:spPr>
        <a:xfrm>
          <a:off x="1466850" y="425767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16</xdr:row>
      <xdr:rowOff>9525</xdr:rowOff>
    </xdr:from>
    <xdr:to>
      <xdr:col>9</xdr:col>
      <xdr:colOff>38100</xdr:colOff>
      <xdr:row>16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2838450" y="232410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9525</xdr:rowOff>
    </xdr:from>
    <xdr:to>
      <xdr:col>5</xdr:col>
      <xdr:colOff>47625</xdr:colOff>
      <xdr:row>28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1428750" y="409575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28</xdr:row>
      <xdr:rowOff>9525</xdr:rowOff>
    </xdr:from>
    <xdr:to>
      <xdr:col>11</xdr:col>
      <xdr:colOff>38100</xdr:colOff>
      <xdr:row>28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3533775" y="409575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28575</xdr:rowOff>
    </xdr:from>
    <xdr:to>
      <xdr:col>6</xdr:col>
      <xdr:colOff>0</xdr:colOff>
      <xdr:row>47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809750" y="6648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1" name="Line 13"/>
        <xdr:cNvSpPr>
          <a:spLocks/>
        </xdr:cNvSpPr>
      </xdr:nvSpPr>
      <xdr:spPr>
        <a:xfrm>
          <a:off x="1466850" y="72104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2" name="Line 14"/>
        <xdr:cNvSpPr>
          <a:spLocks/>
        </xdr:cNvSpPr>
      </xdr:nvSpPr>
      <xdr:spPr>
        <a:xfrm>
          <a:off x="1457325" y="70675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3" name="Line 15"/>
        <xdr:cNvSpPr>
          <a:spLocks/>
        </xdr:cNvSpPr>
      </xdr:nvSpPr>
      <xdr:spPr>
        <a:xfrm>
          <a:off x="1819275" y="7067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47</xdr:row>
      <xdr:rowOff>9525</xdr:rowOff>
    </xdr:from>
    <xdr:to>
      <xdr:col>5</xdr:col>
      <xdr:colOff>38100</xdr:colOff>
      <xdr:row>47</xdr:row>
      <xdr:rowOff>76200</xdr:rowOff>
    </xdr:to>
    <xdr:sp>
      <xdr:nvSpPr>
        <xdr:cNvPr id="14" name="AutoShape 16"/>
        <xdr:cNvSpPr>
          <a:spLocks/>
        </xdr:cNvSpPr>
      </xdr:nvSpPr>
      <xdr:spPr>
        <a:xfrm>
          <a:off x="1419225" y="692467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47</xdr:row>
      <xdr:rowOff>9525</xdr:rowOff>
    </xdr:from>
    <xdr:to>
      <xdr:col>11</xdr:col>
      <xdr:colOff>38100</xdr:colOff>
      <xdr:row>47</xdr:row>
      <xdr:rowOff>76200</xdr:rowOff>
    </xdr:to>
    <xdr:sp>
      <xdr:nvSpPr>
        <xdr:cNvPr id="15" name="AutoShape 17"/>
        <xdr:cNvSpPr>
          <a:spLocks/>
        </xdr:cNvSpPr>
      </xdr:nvSpPr>
      <xdr:spPr>
        <a:xfrm>
          <a:off x="3533775" y="692467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19050</xdr:rowOff>
    </xdr:from>
    <xdr:to>
      <xdr:col>11</xdr:col>
      <xdr:colOff>9525</xdr:colOff>
      <xdr:row>65</xdr:row>
      <xdr:rowOff>19050</xdr:rowOff>
    </xdr:to>
    <xdr:sp>
      <xdr:nvSpPr>
        <xdr:cNvPr id="16" name="Line 18"/>
        <xdr:cNvSpPr>
          <a:spLocks/>
        </xdr:cNvSpPr>
      </xdr:nvSpPr>
      <xdr:spPr>
        <a:xfrm>
          <a:off x="1466850" y="96107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64</xdr:row>
      <xdr:rowOff>9525</xdr:rowOff>
    </xdr:from>
    <xdr:to>
      <xdr:col>5</xdr:col>
      <xdr:colOff>47625</xdr:colOff>
      <xdr:row>64</xdr:row>
      <xdr:rowOff>76200</xdr:rowOff>
    </xdr:to>
    <xdr:sp>
      <xdr:nvSpPr>
        <xdr:cNvPr id="17" name="AutoShape 19"/>
        <xdr:cNvSpPr>
          <a:spLocks/>
        </xdr:cNvSpPr>
      </xdr:nvSpPr>
      <xdr:spPr>
        <a:xfrm>
          <a:off x="1428750" y="944880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64</xdr:row>
      <xdr:rowOff>9525</xdr:rowOff>
    </xdr:from>
    <xdr:to>
      <xdr:col>11</xdr:col>
      <xdr:colOff>38100</xdr:colOff>
      <xdr:row>64</xdr:row>
      <xdr:rowOff>76200</xdr:rowOff>
    </xdr:to>
    <xdr:sp>
      <xdr:nvSpPr>
        <xdr:cNvPr id="18" name="AutoShape 20"/>
        <xdr:cNvSpPr>
          <a:spLocks/>
        </xdr:cNvSpPr>
      </xdr:nvSpPr>
      <xdr:spPr>
        <a:xfrm>
          <a:off x="3533775" y="944880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19050</xdr:rowOff>
    </xdr:from>
    <xdr:to>
      <xdr:col>11</xdr:col>
      <xdr:colOff>9525</xdr:colOff>
      <xdr:row>83</xdr:row>
      <xdr:rowOff>19050</xdr:rowOff>
    </xdr:to>
    <xdr:sp>
      <xdr:nvSpPr>
        <xdr:cNvPr id="19" name="Line 21"/>
        <xdr:cNvSpPr>
          <a:spLocks/>
        </xdr:cNvSpPr>
      </xdr:nvSpPr>
      <xdr:spPr>
        <a:xfrm>
          <a:off x="1466850" y="122777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82</xdr:row>
      <xdr:rowOff>9525</xdr:rowOff>
    </xdr:from>
    <xdr:to>
      <xdr:col>5</xdr:col>
      <xdr:colOff>47625</xdr:colOff>
      <xdr:row>82</xdr:row>
      <xdr:rowOff>76200</xdr:rowOff>
    </xdr:to>
    <xdr:sp>
      <xdr:nvSpPr>
        <xdr:cNvPr id="20" name="AutoShape 22"/>
        <xdr:cNvSpPr>
          <a:spLocks/>
        </xdr:cNvSpPr>
      </xdr:nvSpPr>
      <xdr:spPr>
        <a:xfrm>
          <a:off x="1428750" y="1211580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82</xdr:row>
      <xdr:rowOff>9525</xdr:rowOff>
    </xdr:from>
    <xdr:to>
      <xdr:col>11</xdr:col>
      <xdr:colOff>38100</xdr:colOff>
      <xdr:row>82</xdr:row>
      <xdr:rowOff>76200</xdr:rowOff>
    </xdr:to>
    <xdr:sp>
      <xdr:nvSpPr>
        <xdr:cNvPr id="21" name="AutoShape 23"/>
        <xdr:cNvSpPr>
          <a:spLocks/>
        </xdr:cNvSpPr>
      </xdr:nvSpPr>
      <xdr:spPr>
        <a:xfrm>
          <a:off x="3533775" y="1211580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111</xdr:row>
      <xdr:rowOff>28575</xdr:rowOff>
    </xdr:from>
    <xdr:to>
      <xdr:col>6</xdr:col>
      <xdr:colOff>342900</xdr:colOff>
      <xdr:row>113</xdr:row>
      <xdr:rowOff>0</xdr:rowOff>
    </xdr:to>
    <xdr:sp>
      <xdr:nvSpPr>
        <xdr:cNvPr id="22" name="Line 24"/>
        <xdr:cNvSpPr>
          <a:spLocks/>
        </xdr:cNvSpPr>
      </xdr:nvSpPr>
      <xdr:spPr>
        <a:xfrm flipH="1">
          <a:off x="2152650" y="163830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113</xdr:row>
      <xdr:rowOff>0</xdr:rowOff>
    </xdr:from>
    <xdr:to>
      <xdr:col>5</xdr:col>
      <xdr:colOff>38100</xdr:colOff>
      <xdr:row>113</xdr:row>
      <xdr:rowOff>66675</xdr:rowOff>
    </xdr:to>
    <xdr:sp>
      <xdr:nvSpPr>
        <xdr:cNvPr id="23" name="AutoShape 25"/>
        <xdr:cNvSpPr>
          <a:spLocks/>
        </xdr:cNvSpPr>
      </xdr:nvSpPr>
      <xdr:spPr>
        <a:xfrm>
          <a:off x="1419225" y="16649700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9</xdr:col>
      <xdr:colOff>9525</xdr:colOff>
      <xdr:row>115</xdr:row>
      <xdr:rowOff>0</xdr:rowOff>
    </xdr:to>
    <xdr:sp>
      <xdr:nvSpPr>
        <xdr:cNvPr id="24" name="Line 26"/>
        <xdr:cNvSpPr>
          <a:spLocks/>
        </xdr:cNvSpPr>
      </xdr:nvSpPr>
      <xdr:spPr>
        <a:xfrm>
          <a:off x="1457325" y="169449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>
      <xdr:nvSpPr>
        <xdr:cNvPr id="25" name="Line 27"/>
        <xdr:cNvSpPr>
          <a:spLocks/>
        </xdr:cNvSpPr>
      </xdr:nvSpPr>
      <xdr:spPr>
        <a:xfrm>
          <a:off x="1457325" y="16802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9</xdr:col>
      <xdr:colOff>0</xdr:colOff>
      <xdr:row>114</xdr:row>
      <xdr:rowOff>0</xdr:rowOff>
    </xdr:to>
    <xdr:sp>
      <xdr:nvSpPr>
        <xdr:cNvPr id="26" name="Line 28"/>
        <xdr:cNvSpPr>
          <a:spLocks/>
        </xdr:cNvSpPr>
      </xdr:nvSpPr>
      <xdr:spPr>
        <a:xfrm>
          <a:off x="2152650" y="168021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113</xdr:row>
      <xdr:rowOff>9525</xdr:rowOff>
    </xdr:from>
    <xdr:to>
      <xdr:col>9</xdr:col>
      <xdr:colOff>38100</xdr:colOff>
      <xdr:row>113</xdr:row>
      <xdr:rowOff>76200</xdr:rowOff>
    </xdr:to>
    <xdr:sp>
      <xdr:nvSpPr>
        <xdr:cNvPr id="27" name="AutoShape 29"/>
        <xdr:cNvSpPr>
          <a:spLocks/>
        </xdr:cNvSpPr>
      </xdr:nvSpPr>
      <xdr:spPr>
        <a:xfrm>
          <a:off x="2838450" y="16659225"/>
          <a:ext cx="76200" cy="666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N44"/>
  <sheetViews>
    <sheetView tabSelected="1" workbookViewId="0" topLeftCell="A7">
      <selection activeCell="J6" sqref="J6"/>
    </sheetView>
  </sheetViews>
  <sheetFormatPr defaultColWidth="9.140625" defaultRowHeight="12.75"/>
  <cols>
    <col min="1" max="1" width="1.28515625" style="8" customWidth="1"/>
    <col min="2" max="2" width="5.28125" style="8" bestFit="1" customWidth="1"/>
    <col min="3" max="3" width="6.00390625" style="8" bestFit="1" customWidth="1"/>
    <col min="4" max="4" width="0.71875" style="8" customWidth="1"/>
    <col min="5" max="5" width="7.7109375" style="75" customWidth="1"/>
    <col min="6" max="6" width="6.28125" style="75" customWidth="1"/>
    <col min="7" max="7" width="6.00390625" style="8" customWidth="1"/>
    <col min="8" max="8" width="4.8515625" style="8" bestFit="1" customWidth="1"/>
    <col min="9" max="9" width="5.00390625" style="174" bestFit="1" customWidth="1"/>
    <col min="10" max="10" width="5.28125" style="8" bestFit="1" customWidth="1"/>
    <col min="11" max="11" width="5.421875" style="9" bestFit="1" customWidth="1"/>
    <col min="12" max="12" width="5.00390625" style="8" bestFit="1" customWidth="1"/>
    <col min="13" max="13" width="2.57421875" style="9" bestFit="1" customWidth="1"/>
    <col min="14" max="14" width="3.7109375" style="241" customWidth="1"/>
    <col min="15" max="15" width="3.140625" style="8" bestFit="1" customWidth="1"/>
    <col min="16" max="16" width="4.00390625" style="8" customWidth="1"/>
    <col min="17" max="17" width="4.140625" style="8" customWidth="1"/>
    <col min="18" max="18" width="4.7109375" style="8" customWidth="1"/>
    <col min="19" max="19" width="5.57421875" style="8" customWidth="1"/>
    <col min="20" max="20" width="7.140625" style="8" customWidth="1"/>
    <col min="21" max="21" width="5.8515625" style="8" bestFit="1" customWidth="1"/>
    <col min="22" max="22" width="6.7109375" style="8" customWidth="1"/>
    <col min="23" max="23" width="7.57421875" style="8" customWidth="1"/>
    <col min="24" max="24" width="7.00390625" style="8" customWidth="1"/>
    <col min="25" max="26" width="6.57421875" style="8" bestFit="1" customWidth="1"/>
    <col min="27" max="27" width="5.57421875" style="8" customWidth="1"/>
    <col min="28" max="28" width="6.57421875" style="8" customWidth="1"/>
    <col min="29" max="29" width="4.28125" style="8" customWidth="1"/>
    <col min="30" max="30" width="5.421875" style="8" customWidth="1"/>
    <col min="31" max="31" width="4.421875" style="8" customWidth="1"/>
    <col min="32" max="32" width="3.8515625" style="8" customWidth="1"/>
    <col min="33" max="33" width="4.57421875" style="8" customWidth="1"/>
    <col min="34" max="34" width="5.57421875" style="8" customWidth="1"/>
    <col min="35" max="35" width="6.28125" style="8" customWidth="1"/>
    <col min="36" max="36" width="4.57421875" style="8" customWidth="1"/>
    <col min="37" max="37" width="4.8515625" style="8" bestFit="1" customWidth="1"/>
    <col min="38" max="38" width="5.421875" style="8" bestFit="1" customWidth="1"/>
    <col min="39" max="39" width="6.421875" style="8" customWidth="1"/>
    <col min="40" max="40" width="6.421875" style="8" bestFit="1" customWidth="1"/>
    <col min="41" max="41" width="6.28125" style="8" customWidth="1"/>
    <col min="42" max="42" width="6.421875" style="8" customWidth="1"/>
    <col min="43" max="43" width="5.8515625" style="8" customWidth="1"/>
    <col min="44" max="44" width="5.7109375" style="8" customWidth="1"/>
    <col min="45" max="45" width="5.00390625" style="8" customWidth="1"/>
    <col min="46" max="46" width="7.00390625" style="8" customWidth="1"/>
    <col min="47" max="47" width="7.421875" style="8" bestFit="1" customWidth="1"/>
    <col min="48" max="48" width="5.28125" style="8" bestFit="1" customWidth="1"/>
    <col min="49" max="50" width="5.7109375" style="8" bestFit="1" customWidth="1"/>
    <col min="51" max="52" width="4.8515625" style="8" bestFit="1" customWidth="1"/>
    <col min="53" max="53" width="4.57421875" style="8" customWidth="1"/>
    <col min="54" max="54" width="4.421875" style="8" bestFit="1" customWidth="1"/>
    <col min="55" max="56" width="4.8515625" style="8" bestFit="1" customWidth="1"/>
    <col min="57" max="57" width="6.28125" style="8" bestFit="1" customWidth="1"/>
    <col min="58" max="58" width="5.28125" style="8" bestFit="1" customWidth="1"/>
    <col min="59" max="59" width="6.421875" style="8" bestFit="1" customWidth="1"/>
    <col min="60" max="60" width="5.00390625" style="8" bestFit="1" customWidth="1"/>
    <col min="61" max="61" width="5.140625" style="8" bestFit="1" customWidth="1"/>
    <col min="62" max="62" width="6.421875" style="8" bestFit="1" customWidth="1"/>
    <col min="63" max="16384" width="9.140625" style="8" customWidth="1"/>
  </cols>
  <sheetData>
    <row r="1" spans="22:25" ht="3.75" customHeight="1">
      <c r="V1" s="13"/>
      <c r="W1" s="13"/>
      <c r="X1" s="13"/>
      <c r="Y1" s="13"/>
    </row>
    <row r="2" spans="2:66" ht="20.25">
      <c r="B2" s="96" t="s">
        <v>64</v>
      </c>
      <c r="C2" s="75"/>
      <c r="E2" s="8"/>
      <c r="F2" s="174"/>
      <c r="H2" s="9"/>
      <c r="I2" s="8"/>
      <c r="J2" s="9"/>
      <c r="K2" s="241"/>
      <c r="M2" s="8"/>
      <c r="N2" s="8"/>
      <c r="W2" s="13"/>
      <c r="X2" s="98" t="s">
        <v>278</v>
      </c>
      <c r="AT2" s="98" t="s">
        <v>279</v>
      </c>
      <c r="BN2" s="98" t="s">
        <v>280</v>
      </c>
    </row>
    <row r="3" spans="2:23" ht="11.25">
      <c r="B3" s="53" t="s">
        <v>55</v>
      </c>
      <c r="C3" s="75"/>
      <c r="E3" s="8"/>
      <c r="F3" s="174"/>
      <c r="H3" s="9"/>
      <c r="I3" s="8"/>
      <c r="J3" s="9"/>
      <c r="K3" s="241"/>
      <c r="L3" s="64"/>
      <c r="M3" s="64"/>
      <c r="N3" s="64"/>
      <c r="O3" s="64"/>
      <c r="P3" s="64"/>
      <c r="Q3" s="64"/>
      <c r="R3" s="13"/>
      <c r="S3" s="13"/>
      <c r="T3" s="13"/>
      <c r="U3" s="13"/>
      <c r="V3" s="13"/>
      <c r="W3" s="13"/>
    </row>
    <row r="4" spans="2:24" ht="12" thickBot="1">
      <c r="B4" s="75"/>
      <c r="C4" s="75"/>
      <c r="E4" s="8"/>
      <c r="F4" s="174"/>
      <c r="H4" s="9"/>
      <c r="I4" s="8"/>
      <c r="J4" s="9"/>
      <c r="K4" s="276"/>
      <c r="L4" s="277" t="s">
        <v>120</v>
      </c>
      <c r="M4" s="278"/>
      <c r="N4" s="278"/>
      <c r="O4" s="279" t="s">
        <v>121</v>
      </c>
      <c r="P4" s="279"/>
      <c r="Q4" s="280" t="s">
        <v>122</v>
      </c>
      <c r="R4" s="167"/>
      <c r="S4" s="167"/>
      <c r="T4" s="167"/>
      <c r="U4" s="167"/>
      <c r="V4" s="167"/>
      <c r="W4" s="167"/>
      <c r="X4" s="167"/>
    </row>
    <row r="5" spans="2:24" ht="21.75" thickBot="1" thickTop="1">
      <c r="B5" s="275" t="s">
        <v>119</v>
      </c>
      <c r="C5" s="94"/>
      <c r="D5" s="99"/>
      <c r="E5" s="122"/>
      <c r="F5" s="413"/>
      <c r="H5" s="9"/>
      <c r="I5" s="8"/>
      <c r="J5" s="9"/>
      <c r="K5" s="241"/>
      <c r="L5" s="75"/>
      <c r="M5" s="8"/>
      <c r="N5" s="8" t="s">
        <v>21</v>
      </c>
      <c r="P5" s="281"/>
      <c r="Q5" s="167"/>
      <c r="R5" s="167"/>
      <c r="S5" s="167"/>
      <c r="T5" s="167"/>
      <c r="U5" s="167"/>
      <c r="V5" s="167"/>
      <c r="W5" s="167"/>
      <c r="X5" s="167"/>
    </row>
    <row r="6" spans="2:24" ht="11.25">
      <c r="B6" s="75"/>
      <c r="C6" s="75"/>
      <c r="E6" s="8"/>
      <c r="F6" s="174"/>
      <c r="H6" s="9"/>
      <c r="I6" s="8"/>
      <c r="J6" s="9"/>
      <c r="K6" s="276"/>
      <c r="L6" s="282"/>
      <c r="M6" s="281"/>
      <c r="N6" s="8"/>
      <c r="O6" s="75"/>
      <c r="P6" s="281"/>
      <c r="Q6" s="269"/>
      <c r="R6" s="167"/>
      <c r="S6" s="167"/>
      <c r="T6" s="167"/>
      <c r="U6" s="167"/>
      <c r="V6" s="167"/>
      <c r="W6" s="167"/>
      <c r="X6" s="167"/>
    </row>
    <row r="7" spans="2:24" ht="11.25">
      <c r="B7" s="53" t="s">
        <v>275</v>
      </c>
      <c r="C7" s="98" t="s">
        <v>274</v>
      </c>
      <c r="E7" s="97">
        <v>15</v>
      </c>
      <c r="F7" s="8" t="s">
        <v>66</v>
      </c>
      <c r="G7" s="9"/>
      <c r="I7" s="8"/>
      <c r="J7" s="9"/>
      <c r="K7" s="283"/>
      <c r="L7" s="13"/>
      <c r="M7" s="13"/>
      <c r="N7" s="13"/>
      <c r="O7" s="13"/>
      <c r="P7" s="13"/>
      <c r="Q7" s="13"/>
      <c r="R7" s="13"/>
      <c r="S7" s="167"/>
      <c r="T7" s="167"/>
      <c r="U7" s="167"/>
      <c r="V7" s="167"/>
      <c r="W7" s="167"/>
      <c r="X7" s="167"/>
    </row>
    <row r="8" spans="2:24" ht="11.25">
      <c r="B8" s="75"/>
      <c r="E8" s="75" t="s">
        <v>65</v>
      </c>
      <c r="F8" s="174"/>
      <c r="G8" s="9"/>
      <c r="I8" s="8"/>
      <c r="J8" s="9"/>
      <c r="K8" s="283"/>
      <c r="L8" s="13"/>
      <c r="M8" s="13"/>
      <c r="N8" s="13"/>
      <c r="O8" s="13"/>
      <c r="P8" s="13"/>
      <c r="Q8" s="13"/>
      <c r="R8" s="13"/>
      <c r="S8" s="167"/>
      <c r="T8" s="167"/>
      <c r="U8" s="167"/>
      <c r="V8" s="167"/>
      <c r="W8" s="167"/>
      <c r="X8" s="167"/>
    </row>
    <row r="9" spans="2:24" ht="11.25">
      <c r="B9" s="53" t="s">
        <v>68</v>
      </c>
      <c r="C9" s="75">
        <v>2</v>
      </c>
      <c r="D9" s="8" t="s">
        <v>69</v>
      </c>
      <c r="E9" s="8"/>
      <c r="F9" s="174"/>
      <c r="G9" s="9"/>
      <c r="I9" s="8"/>
      <c r="J9" s="9"/>
      <c r="K9" s="241"/>
      <c r="M9" s="8"/>
      <c r="N9" s="8"/>
      <c r="P9" s="167"/>
      <c r="S9" s="167"/>
      <c r="T9" s="167"/>
      <c r="U9" s="167"/>
      <c r="V9" s="167"/>
      <c r="W9" s="167"/>
      <c r="X9" s="167"/>
    </row>
    <row r="10" spans="2:24" ht="11.25">
      <c r="B10" s="75"/>
      <c r="C10" s="75"/>
      <c r="E10" s="8"/>
      <c r="F10" s="174"/>
      <c r="H10" s="9"/>
      <c r="I10" s="8"/>
      <c r="J10" s="9"/>
      <c r="K10" s="241"/>
      <c r="M10" s="8"/>
      <c r="N10" s="8"/>
      <c r="P10" s="167"/>
      <c r="S10" s="167"/>
      <c r="T10" s="167"/>
      <c r="U10" s="167"/>
      <c r="V10" s="167"/>
      <c r="W10" s="167"/>
      <c r="X10" s="167"/>
    </row>
    <row r="11" spans="2:45" ht="11.25">
      <c r="B11" s="53" t="s">
        <v>76</v>
      </c>
      <c r="C11" s="75"/>
      <c r="E11" s="8"/>
      <c r="F11" s="174"/>
      <c r="H11" s="9"/>
      <c r="I11" s="8"/>
      <c r="J11" s="9"/>
      <c r="K11" s="241"/>
      <c r="M11" s="8"/>
      <c r="N11" s="8"/>
      <c r="P11" s="167"/>
      <c r="S11" s="167"/>
      <c r="T11" s="167"/>
      <c r="U11" s="167"/>
      <c r="V11" s="167"/>
      <c r="W11" s="167"/>
      <c r="X11" s="167"/>
      <c r="AP11" s="13"/>
      <c r="AQ11" s="13"/>
      <c r="AR11" s="13"/>
      <c r="AS11" s="13"/>
    </row>
    <row r="12" spans="2:45" ht="11.25">
      <c r="B12" s="53" t="s">
        <v>75</v>
      </c>
      <c r="C12" s="75"/>
      <c r="E12" s="8"/>
      <c r="F12" s="174"/>
      <c r="H12" s="9"/>
      <c r="I12" s="8"/>
      <c r="J12" s="9"/>
      <c r="K12" s="241"/>
      <c r="M12" s="8"/>
      <c r="N12" s="8"/>
      <c r="P12" s="167"/>
      <c r="R12" s="13"/>
      <c r="S12" s="167"/>
      <c r="T12" s="167"/>
      <c r="U12" s="167"/>
      <c r="V12" s="167"/>
      <c r="W12" s="167"/>
      <c r="X12" s="167"/>
      <c r="AP12" s="13"/>
      <c r="AQ12" s="13"/>
      <c r="AR12" s="13"/>
      <c r="AS12" s="13"/>
    </row>
    <row r="13" spans="2:45" ht="11.25">
      <c r="B13" s="53" t="s">
        <v>79</v>
      </c>
      <c r="C13" s="75"/>
      <c r="E13" s="8"/>
      <c r="F13" s="174"/>
      <c r="H13" s="9"/>
      <c r="I13" s="8"/>
      <c r="J13" s="9"/>
      <c r="K13" s="241"/>
      <c r="M13" s="8"/>
      <c r="N13" s="8"/>
      <c r="P13" s="167"/>
      <c r="R13" s="13"/>
      <c r="S13" s="167"/>
      <c r="T13" s="167"/>
      <c r="U13" s="167"/>
      <c r="V13" s="167"/>
      <c r="W13" s="167"/>
      <c r="X13" s="167"/>
      <c r="AP13" s="13"/>
      <c r="AQ13" s="13"/>
      <c r="AR13" s="13"/>
      <c r="AS13" s="13"/>
    </row>
    <row r="14" spans="2:45" ht="11.25">
      <c r="B14" s="53" t="s">
        <v>78</v>
      </c>
      <c r="C14" s="75"/>
      <c r="E14" s="8"/>
      <c r="F14" s="174"/>
      <c r="H14" s="9"/>
      <c r="I14" s="8"/>
      <c r="J14" s="9"/>
      <c r="K14" s="241"/>
      <c r="M14" s="8"/>
      <c r="N14" s="8"/>
      <c r="P14" s="167"/>
      <c r="R14" s="13"/>
      <c r="S14" s="167"/>
      <c r="T14" s="167"/>
      <c r="U14" s="167"/>
      <c r="V14" s="167"/>
      <c r="W14" s="167"/>
      <c r="X14" s="167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2:45" ht="11.25">
      <c r="B15" s="53" t="s">
        <v>80</v>
      </c>
      <c r="C15" s="75"/>
      <c r="E15" s="8"/>
      <c r="F15" s="174"/>
      <c r="H15" s="9"/>
      <c r="I15" s="8"/>
      <c r="J15" s="9"/>
      <c r="K15" s="241"/>
      <c r="M15" s="8"/>
      <c r="N15" s="8"/>
      <c r="R15" s="13"/>
      <c r="S15" s="13"/>
      <c r="T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2:44" ht="12" thickBot="1">
      <c r="B16" s="53"/>
      <c r="C16" s="75"/>
      <c r="E16" s="8"/>
      <c r="F16" s="174"/>
      <c r="H16" s="9"/>
      <c r="I16" s="8"/>
      <c r="J16" s="9"/>
      <c r="K16" s="241"/>
      <c r="M16" s="8"/>
      <c r="N16" s="8"/>
      <c r="R16" s="13"/>
      <c r="S16" s="13"/>
      <c r="T16" s="13"/>
      <c r="V16" s="13"/>
      <c r="W16" s="36"/>
      <c r="X16" s="36"/>
      <c r="Y16" s="36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2:61" ht="12" thickBot="1">
      <c r="B17" s="493"/>
      <c r="C17" s="496"/>
      <c r="D17" s="54"/>
      <c r="E17" s="121" t="s">
        <v>106</v>
      </c>
      <c r="F17" s="94"/>
      <c r="G17" s="99"/>
      <c r="H17" s="99"/>
      <c r="I17" s="176"/>
      <c r="J17" s="99"/>
      <c r="K17" s="99"/>
      <c r="L17" s="101"/>
      <c r="M17" s="242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122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122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22"/>
    </row>
    <row r="18" spans="2:61" ht="11.25">
      <c r="B18" s="446" t="s">
        <v>244</v>
      </c>
      <c r="C18" s="497" t="s">
        <v>56</v>
      </c>
      <c r="D18" s="54"/>
      <c r="E18" s="76"/>
      <c r="F18" s="6" t="s">
        <v>58</v>
      </c>
      <c r="G18" s="6"/>
      <c r="H18" s="188"/>
      <c r="I18" s="6"/>
      <c r="J18" s="6"/>
      <c r="K18" s="6"/>
      <c r="L18" s="220"/>
      <c r="M18" s="243"/>
      <c r="N18" s="6"/>
      <c r="O18" s="3"/>
      <c r="P18" s="38" t="s">
        <v>34</v>
      </c>
      <c r="Q18" s="70"/>
      <c r="R18" s="26" t="s">
        <v>61</v>
      </c>
      <c r="S18" s="50"/>
      <c r="T18" s="5" t="s">
        <v>25</v>
      </c>
      <c r="U18" s="4"/>
      <c r="V18" s="4"/>
      <c r="W18" s="14" t="s">
        <v>49</v>
      </c>
      <c r="X18" s="7"/>
      <c r="Y18" s="163" t="s">
        <v>276</v>
      </c>
      <c r="Z18" s="26"/>
      <c r="AA18" s="159"/>
      <c r="AB18" s="38" t="s">
        <v>17</v>
      </c>
      <c r="AC18" s="4"/>
      <c r="AD18" s="15" t="s">
        <v>7</v>
      </c>
      <c r="AE18" s="15" t="s">
        <v>7</v>
      </c>
      <c r="AF18" s="259" t="s">
        <v>7</v>
      </c>
      <c r="AG18" s="14" t="s">
        <v>7</v>
      </c>
      <c r="AH18" s="15" t="s">
        <v>7</v>
      </c>
      <c r="AI18" s="42" t="s">
        <v>113</v>
      </c>
      <c r="AJ18" s="45" t="s">
        <v>8</v>
      </c>
      <c r="AK18" s="98" t="s">
        <v>8</v>
      </c>
      <c r="AL18" s="43" t="s">
        <v>8</v>
      </c>
      <c r="AM18" s="43" t="s">
        <v>113</v>
      </c>
      <c r="AN18" s="43" t="s">
        <v>97</v>
      </c>
      <c r="AO18" s="43" t="s">
        <v>97</v>
      </c>
      <c r="AP18" s="12" t="s">
        <v>98</v>
      </c>
      <c r="AQ18" s="12" t="s">
        <v>98</v>
      </c>
      <c r="AR18" s="3"/>
      <c r="AS18" s="7"/>
      <c r="AT18" s="39" t="s">
        <v>50</v>
      </c>
      <c r="AU18" s="546" t="s">
        <v>7</v>
      </c>
      <c r="AV18" s="38" t="s">
        <v>7</v>
      </c>
      <c r="AW18" s="259" t="s">
        <v>8</v>
      </c>
      <c r="AX18" s="259" t="s">
        <v>8</v>
      </c>
      <c r="AY18" s="547" t="s">
        <v>34</v>
      </c>
      <c r="AZ18" s="39" t="s">
        <v>14</v>
      </c>
      <c r="BA18" s="41" t="s">
        <v>51</v>
      </c>
      <c r="BB18" s="15" t="s">
        <v>9</v>
      </c>
      <c r="BC18" s="15" t="s">
        <v>10</v>
      </c>
      <c r="BD18" s="17" t="s">
        <v>29</v>
      </c>
      <c r="BE18" s="42" t="s">
        <v>41</v>
      </c>
      <c r="BF18" s="41" t="s">
        <v>42</v>
      </c>
      <c r="BG18" s="57" t="s">
        <v>99</v>
      </c>
      <c r="BH18" s="55" t="s">
        <v>7</v>
      </c>
      <c r="BI18" s="56" t="s">
        <v>8</v>
      </c>
    </row>
    <row r="19" spans="2:61" ht="11.25">
      <c r="B19" s="93"/>
      <c r="C19" s="498"/>
      <c r="D19" s="54"/>
      <c r="E19" s="76"/>
      <c r="F19" s="64"/>
      <c r="G19" s="64"/>
      <c r="H19" s="65"/>
      <c r="I19" s="64"/>
      <c r="J19" s="64"/>
      <c r="K19" s="64"/>
      <c r="L19" s="247"/>
      <c r="M19" s="244"/>
      <c r="N19" s="64"/>
      <c r="O19" s="69"/>
      <c r="P19" s="14" t="s">
        <v>1</v>
      </c>
      <c r="Q19" s="71"/>
      <c r="R19" s="72" t="s">
        <v>62</v>
      </c>
      <c r="S19" s="72" t="s">
        <v>63</v>
      </c>
      <c r="T19" s="12" t="s">
        <v>26</v>
      </c>
      <c r="U19" s="11"/>
      <c r="V19" s="11"/>
      <c r="X19" s="16"/>
      <c r="Y19" s="40" t="s">
        <v>51</v>
      </c>
      <c r="Z19" s="160" t="s">
        <v>74</v>
      </c>
      <c r="AA19" s="41" t="s">
        <v>52</v>
      </c>
      <c r="AB19" s="14" t="s">
        <v>18</v>
      </c>
      <c r="AC19" s="15" t="s">
        <v>30</v>
      </c>
      <c r="AD19" s="15" t="s">
        <v>70</v>
      </c>
      <c r="AE19" s="15" t="s">
        <v>34</v>
      </c>
      <c r="AF19" s="15" t="s">
        <v>61</v>
      </c>
      <c r="AG19" s="98" t="s">
        <v>87</v>
      </c>
      <c r="AH19" s="15" t="s">
        <v>62</v>
      </c>
      <c r="AI19" s="42" t="s">
        <v>7</v>
      </c>
      <c r="AJ19" s="10"/>
      <c r="AK19" s="98" t="s">
        <v>67</v>
      </c>
      <c r="AL19" s="43" t="s">
        <v>81</v>
      </c>
      <c r="AM19" s="43" t="s">
        <v>8</v>
      </c>
      <c r="AN19" s="43" t="s">
        <v>15</v>
      </c>
      <c r="AO19" s="43" t="s">
        <v>15</v>
      </c>
      <c r="AP19" s="12"/>
      <c r="AQ19" s="12"/>
      <c r="AR19" s="42" t="s">
        <v>14</v>
      </c>
      <c r="AS19" s="17" t="s">
        <v>36</v>
      </c>
      <c r="AT19" s="44" t="s">
        <v>37</v>
      </c>
      <c r="AU19" s="161" t="s">
        <v>85</v>
      </c>
      <c r="AV19" s="13"/>
      <c r="AW19" s="11"/>
      <c r="AX19" s="11"/>
      <c r="AY19" s="42" t="s">
        <v>33</v>
      </c>
      <c r="AZ19" s="17" t="s">
        <v>85</v>
      </c>
      <c r="BA19" s="40" t="s">
        <v>34</v>
      </c>
      <c r="BB19" s="10"/>
      <c r="BC19" s="13"/>
      <c r="BD19" s="17" t="s">
        <v>46</v>
      </c>
      <c r="BE19" s="42" t="s">
        <v>13</v>
      </c>
      <c r="BF19" s="41"/>
      <c r="BG19" s="54"/>
      <c r="BH19" s="58" t="s">
        <v>39</v>
      </c>
      <c r="BI19" s="44" t="s">
        <v>39</v>
      </c>
    </row>
    <row r="20" spans="2:61" ht="11.25">
      <c r="B20" s="93"/>
      <c r="C20" s="498"/>
      <c r="D20" s="54"/>
      <c r="E20" s="76"/>
      <c r="F20" s="73" t="s">
        <v>59</v>
      </c>
      <c r="G20" s="10" t="s">
        <v>56</v>
      </c>
      <c r="H20" s="269" t="s">
        <v>88</v>
      </c>
      <c r="I20" s="15" t="s">
        <v>47</v>
      </c>
      <c r="J20" s="15" t="s">
        <v>0</v>
      </c>
      <c r="K20" s="15" t="s">
        <v>2</v>
      </c>
      <c r="L20" s="43" t="s">
        <v>90</v>
      </c>
      <c r="M20" s="245" t="s">
        <v>91</v>
      </c>
      <c r="N20" s="15" t="s">
        <v>95</v>
      </c>
      <c r="O20" s="15" t="s">
        <v>3</v>
      </c>
      <c r="P20" s="14" t="s">
        <v>19</v>
      </c>
      <c r="Q20" s="15" t="s">
        <v>4</v>
      </c>
      <c r="R20" s="15" t="s">
        <v>19</v>
      </c>
      <c r="S20" s="15" t="s">
        <v>56</v>
      </c>
      <c r="T20" s="12" t="s">
        <v>16</v>
      </c>
      <c r="U20" s="15" t="s">
        <v>21</v>
      </c>
      <c r="V20" s="15" t="s">
        <v>48</v>
      </c>
      <c r="W20" s="14" t="s">
        <v>6</v>
      </c>
      <c r="X20" s="17" t="s">
        <v>5</v>
      </c>
      <c r="Y20" s="40" t="s">
        <v>53</v>
      </c>
      <c r="Z20" s="161"/>
      <c r="AA20" s="41"/>
      <c r="AB20" s="14" t="s">
        <v>32</v>
      </c>
      <c r="AC20" s="15" t="s">
        <v>31</v>
      </c>
      <c r="AD20" s="15" t="s">
        <v>277</v>
      </c>
      <c r="AE20" s="15" t="s">
        <v>72</v>
      </c>
      <c r="AF20" s="15"/>
      <c r="AG20" s="98" t="s">
        <v>86</v>
      </c>
      <c r="AH20" s="15"/>
      <c r="AI20" s="15" t="s">
        <v>111</v>
      </c>
      <c r="AJ20" s="11"/>
      <c r="AK20" s="98" t="s">
        <v>27</v>
      </c>
      <c r="AL20" s="43" t="s">
        <v>82</v>
      </c>
      <c r="AM20" s="43" t="s">
        <v>111</v>
      </c>
      <c r="AN20" s="15" t="s">
        <v>83</v>
      </c>
      <c r="AO20" s="15" t="s">
        <v>114</v>
      </c>
      <c r="AP20" s="42" t="s">
        <v>83</v>
      </c>
      <c r="AQ20" s="42" t="s">
        <v>114</v>
      </c>
      <c r="AR20" s="42"/>
      <c r="AS20" s="17"/>
      <c r="AT20" s="41" t="s">
        <v>54</v>
      </c>
      <c r="AU20" s="134"/>
      <c r="AV20" s="11"/>
      <c r="AW20" s="11"/>
      <c r="AX20" s="11"/>
      <c r="AY20" s="11"/>
      <c r="AZ20" s="16"/>
      <c r="BA20" s="40" t="s">
        <v>84</v>
      </c>
      <c r="BB20" s="10"/>
      <c r="BC20" s="11"/>
      <c r="BD20" s="54"/>
      <c r="BE20" s="10"/>
      <c r="BF20" s="16"/>
      <c r="BG20" s="93"/>
      <c r="BH20" s="93"/>
      <c r="BI20" s="93"/>
    </row>
    <row r="21" spans="2:61" ht="12" thickBot="1">
      <c r="B21" s="381"/>
      <c r="C21" s="499" t="s">
        <v>246</v>
      </c>
      <c r="D21" s="54"/>
      <c r="E21" s="77"/>
      <c r="F21" s="18" t="s">
        <v>60</v>
      </c>
      <c r="G21" s="18" t="s">
        <v>11</v>
      </c>
      <c r="H21" s="270"/>
      <c r="I21" s="1" t="s">
        <v>43</v>
      </c>
      <c r="J21" s="1" t="s">
        <v>40</v>
      </c>
      <c r="K21" s="1" t="s">
        <v>40</v>
      </c>
      <c r="L21" s="48"/>
      <c r="M21" s="246"/>
      <c r="N21" s="1"/>
      <c r="O21" s="1" t="s">
        <v>44</v>
      </c>
      <c r="P21" s="20" t="s">
        <v>40</v>
      </c>
      <c r="Q21" s="1" t="s">
        <v>44</v>
      </c>
      <c r="R21" s="1" t="s">
        <v>40</v>
      </c>
      <c r="S21" s="1" t="s">
        <v>57</v>
      </c>
      <c r="T21" s="19" t="s">
        <v>40</v>
      </c>
      <c r="U21" s="1" t="s">
        <v>12</v>
      </c>
      <c r="V21" s="1" t="s">
        <v>40</v>
      </c>
      <c r="W21" s="20" t="s">
        <v>35</v>
      </c>
      <c r="X21" s="21" t="s">
        <v>40</v>
      </c>
      <c r="Y21" s="284" t="s">
        <v>45</v>
      </c>
      <c r="Z21" s="285"/>
      <c r="AA21" s="21" t="s">
        <v>35</v>
      </c>
      <c r="AB21" s="14" t="s">
        <v>24</v>
      </c>
      <c r="AC21" s="15" t="s">
        <v>22</v>
      </c>
      <c r="AD21" s="15" t="s">
        <v>28</v>
      </c>
      <c r="AE21" s="15" t="s">
        <v>28</v>
      </c>
      <c r="AF21" s="42" t="s">
        <v>28</v>
      </c>
      <c r="AG21" s="42" t="s">
        <v>11</v>
      </c>
      <c r="AH21" s="15" t="s">
        <v>11</v>
      </c>
      <c r="AI21" s="42" t="s">
        <v>112</v>
      </c>
      <c r="AJ21" s="45" t="s">
        <v>28</v>
      </c>
      <c r="AK21" s="11"/>
      <c r="AL21" s="43" t="s">
        <v>11</v>
      </c>
      <c r="AM21" s="43" t="s">
        <v>112</v>
      </c>
      <c r="AN21" s="215" t="s">
        <v>11</v>
      </c>
      <c r="AO21" s="215" t="s">
        <v>112</v>
      </c>
      <c r="AP21" s="234" t="s">
        <v>11</v>
      </c>
      <c r="AQ21" s="234" t="s">
        <v>11</v>
      </c>
      <c r="AR21" s="42" t="s">
        <v>45</v>
      </c>
      <c r="AS21" s="17" t="s">
        <v>35</v>
      </c>
      <c r="AT21" s="57" t="s">
        <v>23</v>
      </c>
      <c r="AU21" s="135" t="s">
        <v>11</v>
      </c>
      <c r="AV21" s="59" t="s">
        <v>20</v>
      </c>
      <c r="AW21" s="60" t="s">
        <v>11</v>
      </c>
      <c r="AX21" s="60" t="s">
        <v>20</v>
      </c>
      <c r="AY21" s="47" t="s">
        <v>38</v>
      </c>
      <c r="AZ21" s="46" t="s">
        <v>45</v>
      </c>
      <c r="BA21" s="46" t="s">
        <v>45</v>
      </c>
      <c r="BB21" s="1" t="s">
        <v>40</v>
      </c>
      <c r="BC21" s="1" t="s">
        <v>40</v>
      </c>
      <c r="BD21" s="49" t="s">
        <v>38</v>
      </c>
      <c r="BE21" s="2" t="s">
        <v>40</v>
      </c>
      <c r="BF21" s="46" t="s">
        <v>40</v>
      </c>
      <c r="BG21" s="136" t="s">
        <v>40</v>
      </c>
      <c r="BH21" s="61" t="s">
        <v>23</v>
      </c>
      <c r="BI21" s="61" t="s">
        <v>23</v>
      </c>
    </row>
    <row r="22" spans="2:61" ht="11.25">
      <c r="B22" s="118">
        <v>1</v>
      </c>
      <c r="C22" s="503">
        <f aca="true" t="shared" si="0" ref="C22:C29">B22*U22*$G22/1000</f>
        <v>0.2349999999996</v>
      </c>
      <c r="D22" s="54"/>
      <c r="E22" s="994" t="s">
        <v>100</v>
      </c>
      <c r="F22" s="179" t="s">
        <v>73</v>
      </c>
      <c r="G22" s="139">
        <v>12</v>
      </c>
      <c r="H22" s="271"/>
      <c r="I22" s="22">
        <v>3.54</v>
      </c>
      <c r="J22" s="22">
        <v>9.87</v>
      </c>
      <c r="K22" s="25">
        <v>0.19</v>
      </c>
      <c r="L22" s="248"/>
      <c r="M22" s="154"/>
      <c r="N22" s="208" t="str">
        <f aca="true" t="shared" si="1" ref="N22:N29">IF(L22&lt;1.1*((M22*29000)/O22)^0.5,1,"NO")</f>
        <v>NO</v>
      </c>
      <c r="O22" s="4">
        <v>50</v>
      </c>
      <c r="P22" s="6">
        <v>1.5</v>
      </c>
      <c r="Q22" s="4">
        <v>4</v>
      </c>
      <c r="R22" s="140">
        <v>4</v>
      </c>
      <c r="S22" s="4">
        <v>115</v>
      </c>
      <c r="T22" s="24">
        <v>82.5</v>
      </c>
      <c r="U22" s="22">
        <v>19.5833333333</v>
      </c>
      <c r="V22" s="23">
        <f>MIN((U22/4)*12,T22)</f>
        <v>58.7499999999</v>
      </c>
      <c r="W22" s="27">
        <f>I22*O22</f>
        <v>177</v>
      </c>
      <c r="X22" s="28">
        <f>(I22*O22)/(0.85*Q22*V22)</f>
        <v>0.8861076345446873</v>
      </c>
      <c r="Y22" s="102">
        <f>(0.9*((I22*O22*(J22/2))+(0.85*Q22*X22*V22*(R22-(X22/2)))))/12</f>
        <v>112.73058557570961</v>
      </c>
      <c r="Z22" s="162">
        <f aca="true" t="shared" si="2" ref="Z22:Z29">IF(H22="v",0.9,1)</f>
        <v>1</v>
      </c>
      <c r="AA22" s="209">
        <f aca="true" t="shared" si="3" ref="AA22:AA29">IF(N22="NO",Z22*0.6*O22*J22*K22,Z22*0.6*O22*J22*K22*N22)</f>
        <v>56.25899999999999</v>
      </c>
      <c r="AB22" s="6">
        <v>17.2</v>
      </c>
      <c r="AC22" s="143">
        <f>(W22/AB22)*2</f>
        <v>20.58139534883721</v>
      </c>
      <c r="AD22" s="4">
        <v>30</v>
      </c>
      <c r="AE22" s="4">
        <v>1.6</v>
      </c>
      <c r="AF22" s="141">
        <v>29</v>
      </c>
      <c r="AG22" s="141">
        <v>0</v>
      </c>
      <c r="AH22" s="144">
        <f aca="true" t="shared" si="4" ref="AH22:AH29">((AD22+AF22+AE22)*(T22/12))+G22+AG22</f>
        <v>428.625</v>
      </c>
      <c r="AI22" s="262"/>
      <c r="AJ22" s="24">
        <v>100</v>
      </c>
      <c r="AK22" s="142">
        <f aca="true" t="shared" si="5" ref="AK22:AK29">IF(0.25+(15/($C$9*U22*(T22/12))^0.5)&gt;0.5,IF(0.25+(15/($C$9*U22*(T22/12))^0.5)&gt;1,1,0.25+(15/($C$9*U22*(T22/12))^0.5)),0.5)</f>
        <v>1</v>
      </c>
      <c r="AL22" s="143">
        <f aca="true" t="shared" si="6" ref="AL22:AL29">(AJ22*AK22)*(T22/12)</f>
        <v>687.5</v>
      </c>
      <c r="AM22" s="190"/>
      <c r="AN22" s="143">
        <f aca="true" t="shared" si="7" ref="AN22:AN29">(1.2*AH22)+(1.6*AL22)</f>
        <v>1614.35</v>
      </c>
      <c r="AO22" s="190"/>
      <c r="AP22" s="143">
        <f aca="true" t="shared" si="8" ref="AP22:AP29">1.4*AH22</f>
        <v>600.0749999999999</v>
      </c>
      <c r="AQ22" s="190"/>
      <c r="AR22" s="142">
        <f>MAX((AP22*U22*U22)/8000,(AN22*U22*U22)/8000)</f>
        <v>77.38930447022265</v>
      </c>
      <c r="AS22" s="51">
        <f>MAX(AP22*U22/2000,AN22*U22/2000)</f>
        <v>15.807177083306428</v>
      </c>
      <c r="AT22" s="90" t="str">
        <f aca="true" t="shared" si="9" ref="AT22:AT29">IF(AND(Y22&gt;AR22,AA22&gt;AS22),"OK","NG")</f>
        <v>OK</v>
      </c>
      <c r="AU22" s="103">
        <f aca="true" t="shared" si="10" ref="AU22:AU29">((AE22+AF22)*(T22/12))+G22</f>
        <v>222.375</v>
      </c>
      <c r="AV22" s="145">
        <f aca="true" t="shared" si="11" ref="AV22:AV36">AU22/12</f>
        <v>18.53125</v>
      </c>
      <c r="AW22" s="143">
        <f aca="true" t="shared" si="12" ref="AW22:AW29">AJ22*(T22/12)</f>
        <v>687.5</v>
      </c>
      <c r="AX22" s="143">
        <f aca="true" t="shared" si="13" ref="AX22:AX36">AW22/12</f>
        <v>57.291666666666664</v>
      </c>
      <c r="AY22" s="24">
        <v>53.8</v>
      </c>
      <c r="AZ22" s="68">
        <f aca="true" t="shared" si="14" ref="AZ22:AZ29">(AU22*U22*U22)/8000</f>
        <v>10.660294596317877</v>
      </c>
      <c r="BA22" s="118"/>
      <c r="BB22" s="126">
        <v>0</v>
      </c>
      <c r="BC22" s="237">
        <f>R22-X22/2</f>
        <v>3.5569461827276565</v>
      </c>
      <c r="BD22" s="67">
        <v>180</v>
      </c>
      <c r="BE22" s="162">
        <f>(5*(AV22)*((U22*12)^4))/(384*29000000*AY22)</f>
        <v>0.47166610777436424</v>
      </c>
      <c r="BF22" s="68">
        <f>(5*(AX22)*((U22*12)^4))/(384*29000000*BD22)</f>
        <v>0.43584411120615324</v>
      </c>
      <c r="BG22" s="102">
        <f aca="true" t="shared" si="15" ref="BG22:BG29">(U22/360)*12</f>
        <v>0.6527777777766667</v>
      </c>
      <c r="BH22" s="90" t="str">
        <f aca="true" t="shared" si="16" ref="BH22:BH29">IF(BE22&gt;BG22,"NG","OK")</f>
        <v>OK</v>
      </c>
      <c r="BI22" s="90" t="str">
        <f aca="true" t="shared" si="17" ref="BI22:BI29">IF(BF22&gt;BG22,"NG","OK")</f>
        <v>OK</v>
      </c>
    </row>
    <row r="23" spans="2:61" ht="11.25">
      <c r="B23" s="254">
        <v>1</v>
      </c>
      <c r="C23" s="507">
        <f t="shared" si="0"/>
        <v>0.2349999999996</v>
      </c>
      <c r="D23" s="54"/>
      <c r="E23" s="995" t="s">
        <v>101</v>
      </c>
      <c r="F23" s="222" t="s">
        <v>73</v>
      </c>
      <c r="G23" s="222">
        <v>12</v>
      </c>
      <c r="H23" s="272"/>
      <c r="I23" s="29">
        <v>3.54</v>
      </c>
      <c r="J23" s="29">
        <v>9.87</v>
      </c>
      <c r="K23" s="32">
        <v>0.19</v>
      </c>
      <c r="L23" s="226"/>
      <c r="M23" s="155"/>
      <c r="N23" s="157" t="str">
        <f t="shared" si="1"/>
        <v>NO</v>
      </c>
      <c r="O23" s="34">
        <v>50</v>
      </c>
      <c r="P23" s="33">
        <v>1.5</v>
      </c>
      <c r="Q23" s="34">
        <v>4</v>
      </c>
      <c r="R23" s="29">
        <v>4</v>
      </c>
      <c r="S23" s="34">
        <v>115</v>
      </c>
      <c r="T23" s="31">
        <v>65.25</v>
      </c>
      <c r="U23" s="29">
        <v>19.5833333333</v>
      </c>
      <c r="V23" s="30">
        <f>MIN((U23/4)*12,T23)</f>
        <v>58.7499999999</v>
      </c>
      <c r="W23" s="146">
        <f>I23*O23</f>
        <v>177</v>
      </c>
      <c r="X23" s="147">
        <f>(I23*O23)/(0.85*Q23*V23)</f>
        <v>0.8861076345446873</v>
      </c>
      <c r="Y23" s="211">
        <f>(0.9*((I23*O23*(J23/2))+(0.85*Q23*X23*V23*(R23-(X23/2)))))/12</f>
        <v>112.73058557570961</v>
      </c>
      <c r="Z23" s="132">
        <f t="shared" si="2"/>
        <v>1</v>
      </c>
      <c r="AA23" s="128">
        <f t="shared" si="3"/>
        <v>56.25899999999999</v>
      </c>
      <c r="AB23" s="227">
        <v>17.2</v>
      </c>
      <c r="AC23" s="52">
        <f>(W23/AB23)*2</f>
        <v>20.58139534883721</v>
      </c>
      <c r="AD23" s="34">
        <v>30</v>
      </c>
      <c r="AE23" s="34">
        <v>1.6</v>
      </c>
      <c r="AF23" s="226">
        <v>29</v>
      </c>
      <c r="AG23" s="226">
        <v>0</v>
      </c>
      <c r="AH23" s="112">
        <f t="shared" si="4"/>
        <v>341.5125</v>
      </c>
      <c r="AI23" s="263"/>
      <c r="AJ23" s="31">
        <v>100</v>
      </c>
      <c r="AK23" s="30">
        <f t="shared" si="5"/>
        <v>1</v>
      </c>
      <c r="AL23" s="52">
        <f t="shared" si="6"/>
        <v>543.75</v>
      </c>
      <c r="AM23" s="265"/>
      <c r="AN23" s="52">
        <f t="shared" si="7"/>
        <v>1279.815</v>
      </c>
      <c r="AO23" s="265"/>
      <c r="AP23" s="52">
        <f t="shared" si="8"/>
        <v>478.11749999999995</v>
      </c>
      <c r="AQ23" s="265"/>
      <c r="AR23" s="30">
        <f>MAX((AP23*U23*U23)/8000,(AN23*U23*U23)/8000)</f>
        <v>61.352242512811976</v>
      </c>
      <c r="AS23" s="128">
        <f>MAX(AP23*U23/2000,AN23*U23/2000)</f>
        <v>12.53152187497867</v>
      </c>
      <c r="AT23" s="91" t="str">
        <f t="shared" si="9"/>
        <v>OK</v>
      </c>
      <c r="AU23" s="114">
        <f t="shared" si="10"/>
        <v>178.38750000000002</v>
      </c>
      <c r="AV23" s="52">
        <f t="shared" si="11"/>
        <v>14.865625000000001</v>
      </c>
      <c r="AW23" s="52">
        <f t="shared" si="12"/>
        <v>543.75</v>
      </c>
      <c r="AX23" s="52">
        <f t="shared" si="13"/>
        <v>45.3125</v>
      </c>
      <c r="AY23" s="81">
        <v>53.8</v>
      </c>
      <c r="AZ23" s="63">
        <f t="shared" si="14"/>
        <v>8.551605631481307</v>
      </c>
      <c r="BA23" s="119"/>
      <c r="BB23" s="125">
        <v>0</v>
      </c>
      <c r="BC23" s="238">
        <f>R23-X23/2</f>
        <v>3.5569461827276565</v>
      </c>
      <c r="BD23" s="67">
        <v>180</v>
      </c>
      <c r="BE23" s="131">
        <f>(5*(AV23)*((U23*12)^4))/(384*29000000*AY23)</f>
        <v>0.3783668928638535</v>
      </c>
      <c r="BF23" s="63">
        <f>(5*(AX23)*((U23*12)^4))/(384*29000000*BD23)</f>
        <v>0.34471306977213934</v>
      </c>
      <c r="BG23" s="211">
        <f t="shared" si="15"/>
        <v>0.6527777777766667</v>
      </c>
      <c r="BH23" s="89" t="str">
        <f t="shared" si="16"/>
        <v>OK</v>
      </c>
      <c r="BI23" s="89" t="str">
        <f t="shared" si="17"/>
        <v>OK</v>
      </c>
    </row>
    <row r="24" spans="2:61" ht="11.25">
      <c r="B24" s="119">
        <v>1</v>
      </c>
      <c r="C24" s="512">
        <f t="shared" si="0"/>
        <v>0.2349999999996</v>
      </c>
      <c r="D24" s="54"/>
      <c r="E24" s="995" t="s">
        <v>102</v>
      </c>
      <c r="F24" s="222" t="s">
        <v>73</v>
      </c>
      <c r="G24" s="222">
        <v>12</v>
      </c>
      <c r="H24" s="272"/>
      <c r="I24" s="29">
        <v>3.54</v>
      </c>
      <c r="J24" s="29">
        <v>9.87</v>
      </c>
      <c r="K24" s="32">
        <v>0.19</v>
      </c>
      <c r="L24" s="226"/>
      <c r="M24" s="155"/>
      <c r="N24" s="157" t="str">
        <f t="shared" si="1"/>
        <v>NO</v>
      </c>
      <c r="O24" s="34">
        <v>50</v>
      </c>
      <c r="P24" s="33">
        <v>1.5</v>
      </c>
      <c r="Q24" s="34">
        <v>4</v>
      </c>
      <c r="R24" s="29">
        <v>4</v>
      </c>
      <c r="S24" s="34">
        <v>115</v>
      </c>
      <c r="T24" s="31">
        <v>41.5</v>
      </c>
      <c r="U24" s="29">
        <v>19.5833333333</v>
      </c>
      <c r="V24" s="989">
        <v>29</v>
      </c>
      <c r="W24" s="146">
        <f>I24*O24</f>
        <v>177</v>
      </c>
      <c r="X24" s="147">
        <f>(I24*O24)/(0.85*Q24*V24)</f>
        <v>1.795131845841785</v>
      </c>
      <c r="Y24" s="211">
        <f>(0.9*((I24*O24*(J24/2))+(0.85*Q24*X24*V24*(R24-(X24/2)))))/12</f>
        <v>106.69693737322514</v>
      </c>
      <c r="Z24" s="132">
        <f t="shared" si="2"/>
        <v>1</v>
      </c>
      <c r="AA24" s="128">
        <f t="shared" si="3"/>
        <v>56.25899999999999</v>
      </c>
      <c r="AB24" s="227">
        <v>17.2</v>
      </c>
      <c r="AC24" s="52">
        <f>(W24/AB24)*2</f>
        <v>20.58139534883721</v>
      </c>
      <c r="AD24" s="34">
        <v>30</v>
      </c>
      <c r="AE24" s="34">
        <v>1.6</v>
      </c>
      <c r="AF24" s="226">
        <v>29</v>
      </c>
      <c r="AG24" s="226">
        <v>0</v>
      </c>
      <c r="AH24" s="112">
        <f t="shared" si="4"/>
        <v>221.57500000000002</v>
      </c>
      <c r="AI24" s="260">
        <f>(AH36*U36)/2</f>
        <v>3895.9880375000007</v>
      </c>
      <c r="AJ24" s="31">
        <v>100</v>
      </c>
      <c r="AK24" s="30">
        <f t="shared" si="5"/>
        <v>1</v>
      </c>
      <c r="AL24" s="52">
        <f t="shared" si="6"/>
        <v>345.83333333333337</v>
      </c>
      <c r="AM24" s="52">
        <f>AL36*U36/2</f>
        <v>6110.88125</v>
      </c>
      <c r="AN24" s="52">
        <f t="shared" si="7"/>
        <v>819.2233333333334</v>
      </c>
      <c r="AO24" s="52">
        <f>(1.2*AI24)+(1.6*AM24)</f>
        <v>14452.595645000001</v>
      </c>
      <c r="AP24" s="52">
        <f t="shared" si="8"/>
        <v>310.205</v>
      </c>
      <c r="AQ24" s="52">
        <f>1.4*AI24</f>
        <v>5454.383252500001</v>
      </c>
      <c r="AR24" s="30">
        <f>MAX((AP24*U24*U24/8000)+(AQ24*U24/4000),(AN24*U24*U24/8000)+(AO24*U24/4000))</f>
        <v>110.02972918475746</v>
      </c>
      <c r="AS24" s="128">
        <f>MAX((AP24*U24/2000)+(AQ24/2000),(AN24*U24/2000)+(AO24/2000))</f>
        <v>15.247859628041905</v>
      </c>
      <c r="AT24" s="91" t="str">
        <f t="shared" si="9"/>
        <v>NG</v>
      </c>
      <c r="AU24" s="120">
        <f t="shared" si="10"/>
        <v>117.825</v>
      </c>
      <c r="AV24" s="52">
        <f t="shared" si="11"/>
        <v>9.81875</v>
      </c>
      <c r="AW24" s="85">
        <f t="shared" si="12"/>
        <v>345.83333333333337</v>
      </c>
      <c r="AX24" s="85">
        <f t="shared" si="13"/>
        <v>28.819444444444446</v>
      </c>
      <c r="AY24" s="81">
        <v>53.8</v>
      </c>
      <c r="AZ24" s="63">
        <f t="shared" si="14"/>
        <v>5.648338216126605</v>
      </c>
      <c r="BA24" s="119"/>
      <c r="BB24" s="125">
        <v>0</v>
      </c>
      <c r="BC24" s="238">
        <f>R24-X24/2</f>
        <v>3.1024340770791072</v>
      </c>
      <c r="BD24" s="67">
        <v>180</v>
      </c>
      <c r="BE24" s="132">
        <f>(5*(AV24)*((U24*12)^4))/(384*29000000*AY24)+(((AI24-(AD36*T36*(U36/12)))*((U24*12)^3))/(48*29000000*AY24))</f>
        <v>0.2896752370131587</v>
      </c>
      <c r="BF24" s="88">
        <f>(5*(AX24)*((U24*12)^4))/(384*29000000*BD24)+((AI24*((U24*12)^3))/(48*29000000*BD24))</f>
        <v>0.42103735852011603</v>
      </c>
      <c r="BG24" s="211">
        <f t="shared" si="15"/>
        <v>0.6527777777766667</v>
      </c>
      <c r="BH24" s="89" t="str">
        <f t="shared" si="16"/>
        <v>OK</v>
      </c>
      <c r="BI24" s="89" t="str">
        <f t="shared" si="17"/>
        <v>OK</v>
      </c>
    </row>
    <row r="25" spans="2:62" ht="11.25">
      <c r="B25" s="119">
        <v>1</v>
      </c>
      <c r="C25" s="512">
        <f>B25*U25*$G25/1000</f>
        <v>0.085</v>
      </c>
      <c r="D25" s="54"/>
      <c r="E25" s="357" t="s">
        <v>103</v>
      </c>
      <c r="F25" s="249" t="s">
        <v>236</v>
      </c>
      <c r="G25" s="258">
        <v>10</v>
      </c>
      <c r="H25" s="272" t="s">
        <v>118</v>
      </c>
      <c r="I25" s="29">
        <v>2.96</v>
      </c>
      <c r="J25" s="29">
        <v>7.89</v>
      </c>
      <c r="K25" s="32">
        <v>0.17</v>
      </c>
      <c r="L25" s="226"/>
      <c r="M25" s="155"/>
      <c r="N25" s="157" t="str">
        <f>IF(L25&lt;1.1*((M25*29000)/O25)^0.5,1,"NO")</f>
        <v>NO</v>
      </c>
      <c r="O25" s="34">
        <v>50</v>
      </c>
      <c r="P25" s="33">
        <v>1.5</v>
      </c>
      <c r="Q25" s="34">
        <v>4</v>
      </c>
      <c r="R25" s="29">
        <v>4</v>
      </c>
      <c r="S25" s="34">
        <v>115</v>
      </c>
      <c r="T25" s="31">
        <v>58</v>
      </c>
      <c r="U25" s="29">
        <v>8.5</v>
      </c>
      <c r="V25" s="30"/>
      <c r="W25" s="146"/>
      <c r="X25" s="147"/>
      <c r="Y25" s="990">
        <v>32.9</v>
      </c>
      <c r="Z25" s="131">
        <f>IF(H25="v",0.9,1)</f>
        <v>1</v>
      </c>
      <c r="AA25" s="128">
        <f>IF(N25="NO",Z25*0.6*O25*J25*K25,Z25*0.6*O25*J25*K25*N25)</f>
        <v>40.239000000000004</v>
      </c>
      <c r="AB25" s="33">
        <v>17.2</v>
      </c>
      <c r="AC25" s="991">
        <v>2</v>
      </c>
      <c r="AD25" s="34">
        <v>30</v>
      </c>
      <c r="AE25" s="34">
        <v>1.6</v>
      </c>
      <c r="AF25" s="31">
        <v>29</v>
      </c>
      <c r="AG25" s="31">
        <v>0</v>
      </c>
      <c r="AH25" s="112">
        <f>((AD25+AF25+AE25)*(T25/12))+G25+AG25</f>
        <v>302.9</v>
      </c>
      <c r="AI25" s="263"/>
      <c r="AJ25" s="31">
        <v>100</v>
      </c>
      <c r="AK25" s="30">
        <f>IF(0.25+(15/($C$9*U25*(T25/12))^0.5)&gt;0.5,IF(0.25+(15/($C$9*U25*(T25/12))^0.5)&gt;1,1,0.25+(15/($C$9*U25*(T25/12))^0.5)),0.5)</f>
        <v>1</v>
      </c>
      <c r="AL25" s="52">
        <f>(AJ25*AK25)*(T25/12)</f>
        <v>483.3333333333333</v>
      </c>
      <c r="AM25" s="265"/>
      <c r="AN25" s="52">
        <f>(1.2*AH25)+(1.6*AL25)</f>
        <v>1136.8133333333333</v>
      </c>
      <c r="AO25" s="265"/>
      <c r="AP25" s="52">
        <f>1.4*AH25</f>
        <v>424.05999999999995</v>
      </c>
      <c r="AQ25" s="265"/>
      <c r="AR25" s="30">
        <f>MAX((AP25*U25*U25)/8000,(AN25*U25*U25)/8000)</f>
        <v>10.266845416666666</v>
      </c>
      <c r="AS25" s="128">
        <f>MAX(AP25*U25/2000,AN25*U25/2000)</f>
        <v>4.831456666666666</v>
      </c>
      <c r="AT25" s="91" t="str">
        <f>IF(AND(Y25&gt;AR25,AA25&gt;AS25),"OK","NG")</f>
        <v>OK</v>
      </c>
      <c r="AU25" s="120">
        <f>((AE25+AF25)*(T25/12))+G25</f>
        <v>157.9</v>
      </c>
      <c r="AV25" s="255">
        <f t="shared" si="11"/>
        <v>13.158333333333333</v>
      </c>
      <c r="AW25" s="52">
        <f>AJ25*(T25/12)</f>
        <v>483.3333333333333</v>
      </c>
      <c r="AX25" s="52">
        <f t="shared" si="13"/>
        <v>40.27777777777778</v>
      </c>
      <c r="AY25" s="31">
        <v>16.4</v>
      </c>
      <c r="AZ25" s="63">
        <f>(AU25*U25*U25)/8000</f>
        <v>1.4260343750000002</v>
      </c>
      <c r="BA25" s="119"/>
      <c r="BB25" s="125">
        <v>0</v>
      </c>
      <c r="BC25" s="256">
        <f>R25-X25/2</f>
        <v>4</v>
      </c>
      <c r="BD25" s="993">
        <v>16.4</v>
      </c>
      <c r="BE25" s="257">
        <f>(5*(AV25)*((U25*12)^4))/(384*29000000*AY25)</f>
        <v>0.03899406443834105</v>
      </c>
      <c r="BF25" s="63">
        <f>(5*(AX25)*((U25*12)^4))/(384*29000000*BD25)</f>
        <v>0.11936118521341466</v>
      </c>
      <c r="BG25" s="130">
        <f>(U25/360)*12</f>
        <v>0.2833333333333333</v>
      </c>
      <c r="BH25" s="91" t="str">
        <f>IF(BE25&gt;BG25,"NG","OK")</f>
        <v>OK</v>
      </c>
      <c r="BI25" s="91" t="str">
        <f>IF(BF25&gt;BG25,"NG","OK")</f>
        <v>OK</v>
      </c>
      <c r="BJ25" s="8" t="s">
        <v>117</v>
      </c>
    </row>
    <row r="26" spans="2:62" ht="11.25">
      <c r="B26" s="119">
        <v>1</v>
      </c>
      <c r="C26" s="512">
        <f>B26*U26*$G26/1000</f>
        <v>0.085</v>
      </c>
      <c r="D26" s="54"/>
      <c r="E26" s="357" t="s">
        <v>104</v>
      </c>
      <c r="F26" s="249" t="s">
        <v>236</v>
      </c>
      <c r="G26" s="258">
        <v>10</v>
      </c>
      <c r="H26" s="272" t="s">
        <v>118</v>
      </c>
      <c r="I26" s="29">
        <v>2.96</v>
      </c>
      <c r="J26" s="29">
        <v>7.89</v>
      </c>
      <c r="K26" s="32">
        <v>0.17</v>
      </c>
      <c r="L26" s="226"/>
      <c r="M26" s="155"/>
      <c r="N26" s="157" t="str">
        <f>IF(L26&lt;1.1*((M26*29000)/O26)^0.5,1,"NO")</f>
        <v>NO</v>
      </c>
      <c r="O26" s="34">
        <v>50</v>
      </c>
      <c r="P26" s="33">
        <v>1.5</v>
      </c>
      <c r="Q26" s="34">
        <v>4</v>
      </c>
      <c r="R26" s="29">
        <v>4</v>
      </c>
      <c r="S26" s="34">
        <v>115</v>
      </c>
      <c r="T26" s="31">
        <v>41.75</v>
      </c>
      <c r="U26" s="29">
        <v>8.5</v>
      </c>
      <c r="V26" s="30"/>
      <c r="W26" s="146"/>
      <c r="X26" s="147"/>
      <c r="Y26" s="990">
        <v>32.9</v>
      </c>
      <c r="Z26" s="131">
        <f>IF(H26="v",0.9,1)</f>
        <v>1</v>
      </c>
      <c r="AA26" s="128">
        <f>IF(N26="NO",Z26*0.6*O26*J26*K26,Z26*0.6*O26*J26*K26*N26)</f>
        <v>40.239000000000004</v>
      </c>
      <c r="AB26" s="33">
        <v>17.2</v>
      </c>
      <c r="AC26" s="991">
        <v>2</v>
      </c>
      <c r="AD26" s="34">
        <v>30</v>
      </c>
      <c r="AE26" s="34">
        <v>1.6</v>
      </c>
      <c r="AF26" s="31">
        <v>29</v>
      </c>
      <c r="AG26" s="31">
        <v>0</v>
      </c>
      <c r="AH26" s="112">
        <f>((AD26+AF26+AE26)*(T26/12))+G26+AG26</f>
        <v>220.8375</v>
      </c>
      <c r="AI26" s="263"/>
      <c r="AJ26" s="31">
        <v>100</v>
      </c>
      <c r="AK26" s="30">
        <f>IF(0.25+(15/($C$9*U26*(T26/12))^0.5)&gt;0.5,IF(0.25+(15/($C$9*U26*(T26/12))^0.5)&gt;1,1,0.25+(15/($C$9*U26*(T26/12))^0.5)),0.5)</f>
        <v>1</v>
      </c>
      <c r="AL26" s="52">
        <f>(AJ26*AK26)*(T26/12)</f>
        <v>347.91666666666663</v>
      </c>
      <c r="AM26" s="265"/>
      <c r="AN26" s="52">
        <f>(1.2*AH26)+(1.6*AL26)</f>
        <v>821.6716666666666</v>
      </c>
      <c r="AO26" s="265"/>
      <c r="AP26" s="52">
        <f>1.4*AH26</f>
        <v>309.1725</v>
      </c>
      <c r="AQ26" s="265"/>
      <c r="AR26" s="30">
        <f>MAX((AP26*U26*U26)/8000,(AN26*U26*U26)/8000)</f>
        <v>7.420722239583333</v>
      </c>
      <c r="AS26" s="128">
        <f>MAX(AP26*U26/2000,AN26*U26/2000)</f>
        <v>3.492104583333333</v>
      </c>
      <c r="AT26" s="91" t="str">
        <f>IF(AND(Y26&gt;AR26,AA26&gt;AS26),"OK","NG")</f>
        <v>OK</v>
      </c>
      <c r="AU26" s="120">
        <f>((AE26+AF26)*(T26/12))+G26</f>
        <v>116.4625</v>
      </c>
      <c r="AV26" s="255">
        <f t="shared" si="11"/>
        <v>9.705208333333333</v>
      </c>
      <c r="AW26" s="52">
        <f>AJ26*(T26/12)</f>
        <v>347.91666666666663</v>
      </c>
      <c r="AX26" s="52">
        <f t="shared" si="13"/>
        <v>28.993055555555554</v>
      </c>
      <c r="AY26" s="31">
        <v>16.4</v>
      </c>
      <c r="AZ26" s="63">
        <f>(AU26*U26*U26)/8000</f>
        <v>1.0518019531250002</v>
      </c>
      <c r="BA26" s="119"/>
      <c r="BB26" s="125">
        <v>0</v>
      </c>
      <c r="BC26" s="256">
        <f>R26-X26/2</f>
        <v>4</v>
      </c>
      <c r="BD26" s="993">
        <v>16.4</v>
      </c>
      <c r="BE26" s="257">
        <f>(5*(AV26)*((U26*12)^4))/(384*29000000*AY26)</f>
        <v>0.02876090075775994</v>
      </c>
      <c r="BF26" s="63">
        <f>(5*(AX26)*((U26*12)^4))/(384*29000000*BD26)</f>
        <v>0.08591947383896659</v>
      </c>
      <c r="BG26" s="130">
        <f>(U26/360)*12</f>
        <v>0.2833333333333333</v>
      </c>
      <c r="BH26" s="91" t="str">
        <f>IF(BE26&gt;BG26,"NG","OK")</f>
        <v>OK</v>
      </c>
      <c r="BI26" s="91" t="str">
        <f>IF(BF26&gt;BG26,"NG","OK")</f>
        <v>OK</v>
      </c>
      <c r="BJ26" s="8" t="s">
        <v>117</v>
      </c>
    </row>
    <row r="27" spans="2:62" ht="11.25">
      <c r="B27" s="119">
        <v>1</v>
      </c>
      <c r="C27" s="512">
        <f t="shared" si="0"/>
        <v>0.085</v>
      </c>
      <c r="D27" s="54"/>
      <c r="E27" s="357" t="s">
        <v>105</v>
      </c>
      <c r="F27" s="249" t="s">
        <v>236</v>
      </c>
      <c r="G27" s="258">
        <v>10</v>
      </c>
      <c r="H27" s="272" t="s">
        <v>118</v>
      </c>
      <c r="I27" s="29">
        <v>2.96</v>
      </c>
      <c r="J27" s="29">
        <v>7.89</v>
      </c>
      <c r="K27" s="32">
        <v>0.17</v>
      </c>
      <c r="L27" s="226"/>
      <c r="M27" s="155"/>
      <c r="N27" s="157" t="str">
        <f t="shared" si="1"/>
        <v>NO</v>
      </c>
      <c r="O27" s="34">
        <v>50</v>
      </c>
      <c r="P27" s="33">
        <v>1.5</v>
      </c>
      <c r="Q27" s="34">
        <v>4</v>
      </c>
      <c r="R27" s="29">
        <v>4</v>
      </c>
      <c r="S27" s="34">
        <v>115</v>
      </c>
      <c r="T27" s="31">
        <v>65.5</v>
      </c>
      <c r="U27" s="29">
        <v>8.5</v>
      </c>
      <c r="V27" s="30"/>
      <c r="W27" s="146"/>
      <c r="X27" s="147"/>
      <c r="Y27" s="990">
        <v>32.9</v>
      </c>
      <c r="Z27" s="131">
        <f t="shared" si="2"/>
        <v>1</v>
      </c>
      <c r="AA27" s="128">
        <f t="shared" si="3"/>
        <v>40.239000000000004</v>
      </c>
      <c r="AB27" s="33">
        <v>17.2</v>
      </c>
      <c r="AC27" s="991">
        <v>2</v>
      </c>
      <c r="AD27" s="34">
        <v>30</v>
      </c>
      <c r="AE27" s="34">
        <v>1.6</v>
      </c>
      <c r="AF27" s="31">
        <v>29</v>
      </c>
      <c r="AG27" s="31">
        <v>0</v>
      </c>
      <c r="AH27" s="112">
        <f t="shared" si="4"/>
        <v>340.775</v>
      </c>
      <c r="AI27" s="263"/>
      <c r="AJ27" s="31">
        <v>100</v>
      </c>
      <c r="AK27" s="30">
        <f t="shared" si="5"/>
        <v>1</v>
      </c>
      <c r="AL27" s="52">
        <f t="shared" si="6"/>
        <v>545.8333333333333</v>
      </c>
      <c r="AM27" s="265"/>
      <c r="AN27" s="52">
        <f t="shared" si="7"/>
        <v>1282.2633333333333</v>
      </c>
      <c r="AO27" s="265"/>
      <c r="AP27" s="52">
        <f t="shared" si="8"/>
        <v>477.0849999999999</v>
      </c>
      <c r="AQ27" s="265"/>
      <c r="AR27" s="30">
        <f>MAX((AP27*U27*U27)/8000,(AN27*U27*U27)/8000)</f>
        <v>11.580440729166666</v>
      </c>
      <c r="AS27" s="128">
        <f>MAX(AP27*U27/2000,AN27*U27/2000)</f>
        <v>5.4496191666666665</v>
      </c>
      <c r="AT27" s="91" t="str">
        <f t="shared" si="9"/>
        <v>OK</v>
      </c>
      <c r="AU27" s="120">
        <f t="shared" si="10"/>
        <v>177.025</v>
      </c>
      <c r="AV27" s="255">
        <f t="shared" si="11"/>
        <v>14.752083333333333</v>
      </c>
      <c r="AW27" s="52">
        <f t="shared" si="12"/>
        <v>545.8333333333333</v>
      </c>
      <c r="AX27" s="52">
        <f t="shared" si="13"/>
        <v>45.48611111111111</v>
      </c>
      <c r="AY27" s="31">
        <v>16.4</v>
      </c>
      <c r="AZ27" s="63">
        <f t="shared" si="14"/>
        <v>1.5987570312500001</v>
      </c>
      <c r="BA27" s="119"/>
      <c r="BB27" s="125">
        <v>0</v>
      </c>
      <c r="BC27" s="256">
        <f>R27-X27/2</f>
        <v>4</v>
      </c>
      <c r="BD27" s="993">
        <v>16.4</v>
      </c>
      <c r="BE27" s="257">
        <f>(5*(AV27)*((U27*12)^4))/(384*29000000*AY27)</f>
        <v>0.04371706306014772</v>
      </c>
      <c r="BF27" s="63">
        <f>(5*(AX27)*((U27*12)^4))/(384*29000000*BD27)</f>
        <v>0.1347958212323907</v>
      </c>
      <c r="BG27" s="130">
        <f t="shared" si="15"/>
        <v>0.2833333333333333</v>
      </c>
      <c r="BH27" s="91" t="str">
        <f t="shared" si="16"/>
        <v>OK</v>
      </c>
      <c r="BI27" s="91" t="str">
        <f t="shared" si="17"/>
        <v>OK</v>
      </c>
      <c r="BJ27" s="8" t="s">
        <v>117</v>
      </c>
    </row>
    <row r="28" spans="2:61" ht="11.25">
      <c r="B28" s="119">
        <v>1</v>
      </c>
      <c r="C28" s="512">
        <f t="shared" si="0"/>
        <v>0.2349999999996</v>
      </c>
      <c r="D28" s="54"/>
      <c r="E28" s="995" t="s">
        <v>294</v>
      </c>
      <c r="F28" s="222" t="s">
        <v>73</v>
      </c>
      <c r="G28" s="222">
        <v>12</v>
      </c>
      <c r="H28" s="272"/>
      <c r="I28" s="29">
        <v>3.54</v>
      </c>
      <c r="J28" s="29">
        <v>9.87</v>
      </c>
      <c r="K28" s="32">
        <v>0.19</v>
      </c>
      <c r="L28" s="226"/>
      <c r="M28" s="155"/>
      <c r="N28" s="216" t="str">
        <f t="shared" si="1"/>
        <v>NO</v>
      </c>
      <c r="O28" s="11">
        <v>50</v>
      </c>
      <c r="P28" s="13">
        <v>1.5</v>
      </c>
      <c r="Q28" s="11">
        <v>4</v>
      </c>
      <c r="R28" s="74">
        <v>4</v>
      </c>
      <c r="S28" s="11">
        <v>115</v>
      </c>
      <c r="T28" s="81">
        <v>41</v>
      </c>
      <c r="U28" s="80">
        <v>19.5833333333</v>
      </c>
      <c r="V28" s="992">
        <v>21</v>
      </c>
      <c r="W28" s="83">
        <f>I28*O28</f>
        <v>177</v>
      </c>
      <c r="X28" s="84">
        <f>(I28*O28)/(0.85*Q28*V28)</f>
        <v>2.4789915966386555</v>
      </c>
      <c r="Y28" s="211">
        <f>(0.9*((I28*O28*(J28/2))+(0.85*Q28*X28*V28*(R28-(X28/2)))))/12</f>
        <v>102.15781827731092</v>
      </c>
      <c r="Z28" s="132">
        <f t="shared" si="2"/>
        <v>1</v>
      </c>
      <c r="AA28" s="251">
        <f t="shared" si="3"/>
        <v>56.25899999999999</v>
      </c>
      <c r="AB28" s="13">
        <v>17.2</v>
      </c>
      <c r="AC28" s="252">
        <f>(W28/AB28)*2</f>
        <v>20.58139534883721</v>
      </c>
      <c r="AD28" s="11">
        <v>30</v>
      </c>
      <c r="AE28" s="11">
        <v>1.6</v>
      </c>
      <c r="AF28" s="182">
        <v>29</v>
      </c>
      <c r="AG28" s="182">
        <v>0</v>
      </c>
      <c r="AH28" s="253">
        <f t="shared" si="4"/>
        <v>219.04999999999998</v>
      </c>
      <c r="AI28" s="261">
        <f>(AH36*U36)/2</f>
        <v>3895.9880375000007</v>
      </c>
      <c r="AJ28" s="81">
        <v>100</v>
      </c>
      <c r="AK28" s="124">
        <f t="shared" si="5"/>
        <v>1</v>
      </c>
      <c r="AL28" s="252">
        <f t="shared" si="6"/>
        <v>341.66666666666663</v>
      </c>
      <c r="AM28" s="252">
        <f>AL36*U36/2</f>
        <v>6110.88125</v>
      </c>
      <c r="AN28" s="252">
        <f t="shared" si="7"/>
        <v>809.5266666666666</v>
      </c>
      <c r="AO28" s="52">
        <f>(1.2*AI28)+(1.6*AM28)</f>
        <v>14452.595645000001</v>
      </c>
      <c r="AP28" s="252">
        <f t="shared" si="8"/>
        <v>306.66999999999996</v>
      </c>
      <c r="AQ28" s="52">
        <f>1.4*AI28</f>
        <v>5454.383252500001</v>
      </c>
      <c r="AR28" s="30">
        <f>MAX((AP28*U28*U28/8000)+(AQ28*U28/4000),(AN28*U28*U28/8000)+(AO28*U28/4000))</f>
        <v>109.56488680918034</v>
      </c>
      <c r="AS28" s="128">
        <f>MAX((AP28*U28/2000)+(AQ28/2000),(AN28*U28/2000)+(AO28/2000))</f>
        <v>15.152913100264286</v>
      </c>
      <c r="AT28" s="89" t="str">
        <f t="shared" si="9"/>
        <v>NG</v>
      </c>
      <c r="AU28" s="114">
        <f t="shared" si="10"/>
        <v>116.55</v>
      </c>
      <c r="AV28" s="236">
        <f t="shared" si="11"/>
        <v>9.7125</v>
      </c>
      <c r="AW28" s="252">
        <f t="shared" si="12"/>
        <v>341.66666666666663</v>
      </c>
      <c r="AX28" s="252">
        <f t="shared" si="13"/>
        <v>28.472222222222218</v>
      </c>
      <c r="AY28" s="81">
        <v>53.8</v>
      </c>
      <c r="AZ28" s="88">
        <f t="shared" si="14"/>
        <v>5.58721679685598</v>
      </c>
      <c r="BA28" s="254"/>
      <c r="BB28" s="69">
        <v>0</v>
      </c>
      <c r="BC28" s="238">
        <f aca="true" t="shared" si="18" ref="BC28:BC36">R28-X28/2</f>
        <v>2.7605042016806722</v>
      </c>
      <c r="BD28" s="87">
        <v>180</v>
      </c>
      <c r="BE28" s="132">
        <f>(5*(AV28)*((U28*12)^4))/(384*29000000*AY28)+(((AI28-(AD36*T36*(U36/12)))*((U28*12)^3))/(48*29000000*AY28))</f>
        <v>0.28697091194328883</v>
      </c>
      <c r="BF28" s="88">
        <f>(5*(AX28)*((U28*12)^4))/(384*29000000*BD28)+((AI28*((U28*12)^3))/(48*29000000*BD28))</f>
        <v>0.4183958790582605</v>
      </c>
      <c r="BG28" s="211">
        <f t="shared" si="15"/>
        <v>0.6527777777766667</v>
      </c>
      <c r="BH28" s="89" t="str">
        <f t="shared" si="16"/>
        <v>OK</v>
      </c>
      <c r="BI28" s="89" t="str">
        <f t="shared" si="17"/>
        <v>OK</v>
      </c>
    </row>
    <row r="29" spans="2:61" ht="12" thickBot="1">
      <c r="B29" s="381">
        <v>1</v>
      </c>
      <c r="C29" s="513">
        <f t="shared" si="0"/>
        <v>0.2349999999996</v>
      </c>
      <c r="D29" s="54"/>
      <c r="E29" s="206" t="s">
        <v>115</v>
      </c>
      <c r="F29" s="223" t="s">
        <v>73</v>
      </c>
      <c r="G29" s="153">
        <v>12</v>
      </c>
      <c r="H29" s="273"/>
      <c r="I29" s="100">
        <v>3.54</v>
      </c>
      <c r="J29" s="100">
        <v>9.87</v>
      </c>
      <c r="K29" s="116">
        <v>0.19</v>
      </c>
      <c r="L29" s="226"/>
      <c r="M29" s="155"/>
      <c r="N29" s="157" t="str">
        <f t="shared" si="1"/>
        <v>NO</v>
      </c>
      <c r="O29" s="34">
        <v>50</v>
      </c>
      <c r="P29" s="33">
        <v>1.5</v>
      </c>
      <c r="Q29" s="34">
        <v>4</v>
      </c>
      <c r="R29" s="29">
        <v>4</v>
      </c>
      <c r="S29" s="34">
        <v>115</v>
      </c>
      <c r="T29" s="183">
        <v>58.25</v>
      </c>
      <c r="U29" s="100">
        <v>19.5833333333</v>
      </c>
      <c r="V29" s="30">
        <f>MIN((U29/4)*12,T29)</f>
        <v>58.25</v>
      </c>
      <c r="W29" s="146">
        <f>I29*O29</f>
        <v>177</v>
      </c>
      <c r="X29" s="147">
        <f>(I29*O29)/(0.85*Q29*V29)</f>
        <v>0.8937137086594296</v>
      </c>
      <c r="Y29" s="211">
        <f>(0.9*((I29*O29*(J29/2))+(0.85*Q29*X29*V29*(R29-(X29/2)))))/12</f>
        <v>112.68010025877305</v>
      </c>
      <c r="Z29" s="132">
        <f t="shared" si="2"/>
        <v>1</v>
      </c>
      <c r="AA29" s="128">
        <f t="shared" si="3"/>
        <v>56.25899999999999</v>
      </c>
      <c r="AB29" s="227">
        <v>17.2</v>
      </c>
      <c r="AC29" s="52">
        <f>(W29/AB29)*2</f>
        <v>20.58139534883721</v>
      </c>
      <c r="AD29" s="34">
        <v>30</v>
      </c>
      <c r="AE29" s="34">
        <v>1.6</v>
      </c>
      <c r="AF29" s="226">
        <v>29</v>
      </c>
      <c r="AG29" s="226">
        <v>0</v>
      </c>
      <c r="AH29" s="112">
        <f t="shared" si="4"/>
        <v>306.1625</v>
      </c>
      <c r="AI29" s="267"/>
      <c r="AJ29" s="183">
        <v>100</v>
      </c>
      <c r="AK29" s="30">
        <f t="shared" si="5"/>
        <v>1</v>
      </c>
      <c r="AL29" s="52">
        <f t="shared" si="6"/>
        <v>485.4166666666667</v>
      </c>
      <c r="AM29" s="265"/>
      <c r="AN29" s="52">
        <f t="shared" si="7"/>
        <v>1144.0616666666667</v>
      </c>
      <c r="AO29" s="265"/>
      <c r="AP29" s="52">
        <f t="shared" si="8"/>
        <v>428.6275</v>
      </c>
      <c r="AQ29" s="265"/>
      <c r="AR29" s="30">
        <f>MAX((AP29*U29*U29)/8000,(AN29*U29*U29)/8000)</f>
        <v>54.84444925473228</v>
      </c>
      <c r="AS29" s="128">
        <f>MAX(AP29*U29/2000,AN29*U29/2000)</f>
        <v>11.202270486092043</v>
      </c>
      <c r="AT29" s="91" t="str">
        <f t="shared" si="9"/>
        <v>OK</v>
      </c>
      <c r="AU29" s="104">
        <f t="shared" si="10"/>
        <v>160.53750000000002</v>
      </c>
      <c r="AV29" s="221">
        <f t="shared" si="11"/>
        <v>13.378125000000002</v>
      </c>
      <c r="AW29" s="106">
        <f t="shared" si="12"/>
        <v>485.4166666666667</v>
      </c>
      <c r="AX29" s="106">
        <f t="shared" si="13"/>
        <v>40.45138888888889</v>
      </c>
      <c r="AY29" s="35">
        <v>53.8</v>
      </c>
      <c r="AZ29" s="111">
        <f t="shared" si="14"/>
        <v>7.695905761692553</v>
      </c>
      <c r="BA29" s="119"/>
      <c r="BB29" s="69">
        <v>0</v>
      </c>
      <c r="BC29" s="238">
        <f t="shared" si="18"/>
        <v>3.553143145670285</v>
      </c>
      <c r="BD29" s="87">
        <v>180</v>
      </c>
      <c r="BE29" s="131">
        <f>(5*(AV29)*((U29*12)^4))/(384*29000000*AY29)</f>
        <v>0.34050634188567525</v>
      </c>
      <c r="BF29" s="63">
        <f>(5*(AX29)*((U29*12)^4))/(384*29000000*BD29)</f>
        <v>0.3077323573061628</v>
      </c>
      <c r="BG29" s="130">
        <f t="shared" si="15"/>
        <v>0.6527777777766667</v>
      </c>
      <c r="BH29" s="91" t="str">
        <f t="shared" si="16"/>
        <v>OK</v>
      </c>
      <c r="BI29" s="91" t="str">
        <f t="shared" si="17"/>
        <v>OK</v>
      </c>
    </row>
    <row r="30" spans="2:61" s="174" customFormat="1" ht="12" thickBot="1">
      <c r="B30" s="521"/>
      <c r="C30" s="521"/>
      <c r="D30" s="175"/>
      <c r="E30" s="184"/>
      <c r="F30" s="233"/>
      <c r="G30" s="522"/>
      <c r="H30" s="523"/>
      <c r="I30" s="212"/>
      <c r="J30" s="212"/>
      <c r="K30" s="524"/>
      <c r="L30" s="525"/>
      <c r="M30" s="526"/>
      <c r="N30" s="527"/>
      <c r="O30" s="528"/>
      <c r="P30" s="176"/>
      <c r="Q30" s="528"/>
      <c r="R30" s="212"/>
      <c r="S30" s="528"/>
      <c r="T30" s="386"/>
      <c r="U30" s="529"/>
      <c r="V30" s="212"/>
      <c r="W30" s="387"/>
      <c r="X30" s="530"/>
      <c r="Y30" s="531"/>
      <c r="Z30" s="532"/>
      <c r="AA30" s="533"/>
      <c r="AB30" s="176"/>
      <c r="AC30" s="525"/>
      <c r="AD30" s="528"/>
      <c r="AE30" s="528"/>
      <c r="AF30" s="534"/>
      <c r="AG30" s="534"/>
      <c r="AH30" s="536"/>
      <c r="AI30" s="537"/>
      <c r="AJ30" s="386"/>
      <c r="AK30" s="212"/>
      <c r="AL30" s="525"/>
      <c r="AM30" s="525"/>
      <c r="AN30" s="525"/>
      <c r="AO30" s="525"/>
      <c r="AP30" s="525"/>
      <c r="AQ30" s="525"/>
      <c r="AR30" s="212"/>
      <c r="AS30" s="533"/>
      <c r="AT30" s="538"/>
      <c r="AU30" s="539"/>
      <c r="AV30" s="386"/>
      <c r="AW30" s="525"/>
      <c r="AX30" s="525"/>
      <c r="AY30" s="386"/>
      <c r="AZ30" s="540"/>
      <c r="BA30" s="521"/>
      <c r="BB30" s="541"/>
      <c r="BC30" s="524"/>
      <c r="BD30" s="545"/>
      <c r="BE30" s="542"/>
      <c r="BF30" s="540"/>
      <c r="BG30" s="531"/>
      <c r="BH30" s="543"/>
      <c r="BI30" s="543"/>
    </row>
    <row r="31" spans="2:61" ht="11.25">
      <c r="B31" s="254">
        <v>2</v>
      </c>
      <c r="C31" s="507">
        <f>B31*U31*$G31/1000</f>
        <v>0.4699999999992</v>
      </c>
      <c r="D31" s="54"/>
      <c r="E31" s="249" t="s">
        <v>116</v>
      </c>
      <c r="F31" s="123" t="s">
        <v>73</v>
      </c>
      <c r="G31" s="287">
        <v>12</v>
      </c>
      <c r="H31" s="271"/>
      <c r="I31" s="22">
        <v>3.54</v>
      </c>
      <c r="J31" s="22">
        <v>9.87</v>
      </c>
      <c r="K31" s="25">
        <v>0.19</v>
      </c>
      <c r="L31" s="248"/>
      <c r="M31" s="154"/>
      <c r="N31" s="372" t="str">
        <f>IF(L31&lt;1.1*((M31*29000)/O31)^0.5,1,"NO")</f>
        <v>NO</v>
      </c>
      <c r="O31" s="288">
        <v>50</v>
      </c>
      <c r="P31" s="26">
        <v>1.5</v>
      </c>
      <c r="Q31" s="288">
        <v>4</v>
      </c>
      <c r="R31" s="22">
        <v>4</v>
      </c>
      <c r="S31" s="288">
        <v>115</v>
      </c>
      <c r="T31" s="24">
        <v>77.25</v>
      </c>
      <c r="U31" s="22">
        <v>19.5833333333</v>
      </c>
      <c r="V31" s="996">
        <v>23.15</v>
      </c>
      <c r="W31" s="27">
        <f>I31*O31</f>
        <v>177</v>
      </c>
      <c r="X31" s="28">
        <f>(I31*O31)/(0.85*Q31*V31)</f>
        <v>2.248761275568543</v>
      </c>
      <c r="Y31" s="102">
        <f>(0.9*((I31*O31*(J31/2))+(0.85*Q31*X31*V31*(R31-(X31/2)))))/12</f>
        <v>103.68597203341379</v>
      </c>
      <c r="Z31" s="162">
        <f>IF(H31="v",0.9,1)</f>
        <v>1</v>
      </c>
      <c r="AA31" s="51">
        <f>IF(N31="NO",Z31*0.6*O31*J31*K31,Z31*0.6*O31*J31*K31*N31)</f>
        <v>56.25899999999999</v>
      </c>
      <c r="AB31" s="50">
        <v>17.2</v>
      </c>
      <c r="AC31" s="290">
        <f>(W31/AB31)*2</f>
        <v>20.58139534883721</v>
      </c>
      <c r="AD31" s="288">
        <v>30</v>
      </c>
      <c r="AE31" s="288">
        <v>1.6</v>
      </c>
      <c r="AF31" s="248">
        <v>29</v>
      </c>
      <c r="AG31" s="248">
        <v>0</v>
      </c>
      <c r="AH31" s="454">
        <f>((AD31+AF31+AE31)*(T31/12))+G31+AG31</f>
        <v>402.1125</v>
      </c>
      <c r="AI31" s="535"/>
      <c r="AJ31" s="81">
        <v>100</v>
      </c>
      <c r="AK31" s="82">
        <f>IF(0.25+(15/($C$9*U31*(T31/12))^0.5)&gt;0.5,IF(0.25+(15/($C$9*U31*(T31/12))^0.5)&gt;1,1,0.25+(15/($C$9*U31*(T31/12))^0.5)),0.5)</f>
        <v>1</v>
      </c>
      <c r="AL31" s="85">
        <f>(AJ31*AK31)*(T31/12)</f>
        <v>643.75</v>
      </c>
      <c r="AM31" s="185"/>
      <c r="AN31" s="85">
        <f>(1.2*AH31)+(1.6*AL31)</f>
        <v>1512.5349999999999</v>
      </c>
      <c r="AO31" s="85"/>
      <c r="AP31" s="85">
        <f>1.4*AH31</f>
        <v>562.9575</v>
      </c>
      <c r="AQ31" s="85"/>
      <c r="AR31" s="82">
        <f>MAX((AP31*U31*U31)/8000,(AN31*U31*U31)/8000)</f>
        <v>72.50845952666288</v>
      </c>
      <c r="AS31" s="86">
        <f>MAX(AP31*U31/2000,AN31*U31/2000)</f>
        <v>14.810238541641457</v>
      </c>
      <c r="AT31" s="89" t="str">
        <f>IF(AND(Y31&gt;AR31,AA31&gt;AS31),"OK","NG")</f>
        <v>OK</v>
      </c>
      <c r="AU31" s="114">
        <f>((AE31+AF31)*(T31/12))+G31</f>
        <v>208.9875</v>
      </c>
      <c r="AV31" s="236">
        <f t="shared" si="11"/>
        <v>17.415625000000002</v>
      </c>
      <c r="AW31" s="85">
        <f>AJ31*(T31/12)</f>
        <v>643.75</v>
      </c>
      <c r="AX31" s="85">
        <f t="shared" si="13"/>
        <v>53.645833333333336</v>
      </c>
      <c r="AY31" s="81">
        <v>53.8</v>
      </c>
      <c r="AZ31" s="88">
        <f>(AU31*U31*U31)/8000</f>
        <v>10.018519693976312</v>
      </c>
      <c r="BA31" s="254"/>
      <c r="BB31" s="300">
        <v>0</v>
      </c>
      <c r="BC31" s="238">
        <f>R31-X31/2</f>
        <v>2.8756193622157284</v>
      </c>
      <c r="BD31" s="67">
        <v>180</v>
      </c>
      <c r="BE31" s="162">
        <f>(5*(AV31)*((U31*12)^4))/(384*29000000*AY31)</f>
        <v>0.44327069454073065</v>
      </c>
      <c r="BF31" s="68">
        <f>(5*(AX31)*((U31*12)^4))/(384*29000000*BD31)</f>
        <v>0.40810857685667085</v>
      </c>
      <c r="BG31" s="102">
        <f>(U31/360)*12</f>
        <v>0.6527777777766667</v>
      </c>
      <c r="BH31" s="90" t="str">
        <f>IF(BE31&gt;BG31,"NG","OK")</f>
        <v>OK</v>
      </c>
      <c r="BI31" s="90" t="str">
        <f>IF(BF31&gt;BG31,"NG","OK")</f>
        <v>OK</v>
      </c>
    </row>
    <row r="32" spans="2:61" ht="11.25">
      <c r="B32" s="254">
        <v>2</v>
      </c>
      <c r="C32" s="507">
        <f>B32*U32*$G32/1000</f>
        <v>0.4699999999992</v>
      </c>
      <c r="D32" s="54"/>
      <c r="E32" s="249" t="s">
        <v>35</v>
      </c>
      <c r="F32" s="458" t="s">
        <v>73</v>
      </c>
      <c r="G32" s="295">
        <v>12</v>
      </c>
      <c r="H32" s="390"/>
      <c r="I32" s="80">
        <v>3.54</v>
      </c>
      <c r="J32" s="80">
        <v>9.87</v>
      </c>
      <c r="K32" s="296">
        <v>0.19</v>
      </c>
      <c r="L32" s="410"/>
      <c r="M32" s="391"/>
      <c r="N32" s="392" t="str">
        <f>IF(L32&lt;1.1*((M32*29000)/O32)^0.5,1,"NO")</f>
        <v>NO</v>
      </c>
      <c r="O32" s="297">
        <v>50</v>
      </c>
      <c r="P32" s="64">
        <v>1.5</v>
      </c>
      <c r="Q32" s="297">
        <v>4</v>
      </c>
      <c r="R32" s="80">
        <v>4</v>
      </c>
      <c r="S32" s="297">
        <v>115</v>
      </c>
      <c r="T32" s="81">
        <v>64.25</v>
      </c>
      <c r="U32" s="29">
        <v>19.5833333333</v>
      </c>
      <c r="V32" s="30">
        <f>MIN((U32/4)*12,T32)</f>
        <v>58.7499999999</v>
      </c>
      <c r="W32" s="83">
        <f>I32*O32</f>
        <v>177</v>
      </c>
      <c r="X32" s="84">
        <f>(I32*O32)/(0.85*Q32*V32)</f>
        <v>0.8861076345446873</v>
      </c>
      <c r="Y32" s="211">
        <f>(0.9*((I32*O32*(J32/2))+(0.85*Q32*X32*V32*(R32-(X32/2)))))/12</f>
        <v>112.73058557570961</v>
      </c>
      <c r="Z32" s="132">
        <f>IF(H32="v",0.9,1)</f>
        <v>1</v>
      </c>
      <c r="AA32" s="86">
        <f>IF(N32="NO",Z32*0.6*O32*J32*K32,Z32*0.6*O32*J32*K32*N32)</f>
        <v>56.25899999999999</v>
      </c>
      <c r="AB32" s="69">
        <v>17.2</v>
      </c>
      <c r="AC32" s="85">
        <f>(W32/AB32)*2</f>
        <v>20.58139534883721</v>
      </c>
      <c r="AD32" s="297">
        <v>30</v>
      </c>
      <c r="AE32" s="297">
        <v>1.6</v>
      </c>
      <c r="AF32" s="410">
        <v>29</v>
      </c>
      <c r="AG32" s="410">
        <v>0</v>
      </c>
      <c r="AH32" s="454">
        <f>((AD32+AF32+AE32)*(T32/12))+G32+AG32</f>
        <v>336.46250000000003</v>
      </c>
      <c r="AI32" s="535"/>
      <c r="AJ32" s="81">
        <v>100</v>
      </c>
      <c r="AK32" s="82">
        <f>IF(0.25+(15/($C$9*U32*(T32/12))^0.5)&gt;0.5,IF(0.25+(15/($C$9*U32*(T32/12))^0.5)&gt;1,1,0.25+(15/($C$9*U32*(T32/12))^0.5)),0.5)</f>
        <v>1</v>
      </c>
      <c r="AL32" s="85">
        <f>(AJ32*AK32)*(T32/12)</f>
        <v>535.4166666666667</v>
      </c>
      <c r="AM32" s="185"/>
      <c r="AN32" s="85">
        <f>(1.2*AH32)+(1.6*AL32)</f>
        <v>1260.4216666666669</v>
      </c>
      <c r="AO32" s="85"/>
      <c r="AP32" s="85">
        <f>1.4*AH32</f>
        <v>471.0475</v>
      </c>
      <c r="AQ32" s="85"/>
      <c r="AR32" s="82">
        <f>MAX((AP32*U32*U32)/8000,(AN32*U32*U32)/8000)</f>
        <v>60.42255776165775</v>
      </c>
      <c r="AS32" s="86">
        <f>MAX(AP32*U32/2000,AN32*U32/2000)</f>
        <v>12.341628819423441</v>
      </c>
      <c r="AT32" s="89" t="str">
        <f>IF(AND(Y32&gt;AR32,AA32&gt;AS32),"OK","NG")</f>
        <v>OK</v>
      </c>
      <c r="AU32" s="114">
        <f>((AE32+AF32)*(T32/12))+G32</f>
        <v>175.8375</v>
      </c>
      <c r="AV32" s="236">
        <f t="shared" si="11"/>
        <v>14.653125000000001</v>
      </c>
      <c r="AW32" s="85">
        <f>AJ32*(T32/12)</f>
        <v>535.4166666666667</v>
      </c>
      <c r="AX32" s="85">
        <f t="shared" si="13"/>
        <v>44.618055555555564</v>
      </c>
      <c r="AY32" s="81">
        <v>53.8</v>
      </c>
      <c r="AZ32" s="88">
        <f>(AU32*U32*U32)/8000</f>
        <v>8.429362792940056</v>
      </c>
      <c r="BA32" s="254"/>
      <c r="BB32" s="300">
        <v>0</v>
      </c>
      <c r="BC32" s="238">
        <f>R32-X32/2</f>
        <v>3.5569461827276565</v>
      </c>
      <c r="BD32" s="67">
        <v>180</v>
      </c>
      <c r="BE32" s="132">
        <f>(5*(AV32)*((U32*12)^4))/(384*29000000*AY32)</f>
        <v>0.37295824272411365</v>
      </c>
      <c r="BF32" s="88">
        <f>(5*(AX32)*((U32*12)^4))/(384*29000000*BD32)</f>
        <v>0.3394301108484285</v>
      </c>
      <c r="BG32" s="211">
        <f>(U32/360)*12</f>
        <v>0.6527777777766667</v>
      </c>
      <c r="BH32" s="89" t="str">
        <f>IF(BE32&gt;BG32,"NG","OK")</f>
        <v>OK</v>
      </c>
      <c r="BI32" s="89" t="str">
        <f>IF(BF32&gt;BG32,"NG","OK")</f>
        <v>OK</v>
      </c>
    </row>
    <row r="33" spans="2:61" ht="12" thickBot="1">
      <c r="B33" s="381">
        <v>2</v>
      </c>
      <c r="C33" s="513">
        <f>B33*U33*$G33/1000</f>
        <v>0.4699999999992</v>
      </c>
      <c r="D33" s="54"/>
      <c r="E33" s="249" t="s">
        <v>21</v>
      </c>
      <c r="F33" s="224" t="s">
        <v>73</v>
      </c>
      <c r="G33" s="153">
        <v>12</v>
      </c>
      <c r="H33" s="273"/>
      <c r="I33" s="100">
        <v>3.54</v>
      </c>
      <c r="J33" s="100">
        <v>9.87</v>
      </c>
      <c r="K33" s="116">
        <v>0.19</v>
      </c>
      <c r="L33" s="183"/>
      <c r="M33" s="156"/>
      <c r="N33" s="158" t="str">
        <f>IF(L33&lt;1.1*((M33*29000)/O33)^0.5,1,"NO")</f>
        <v>NO</v>
      </c>
      <c r="O33" s="109">
        <v>50</v>
      </c>
      <c r="P33" s="95">
        <v>1.5</v>
      </c>
      <c r="Q33" s="109">
        <v>4</v>
      </c>
      <c r="R33" s="100">
        <v>4</v>
      </c>
      <c r="S33" s="109">
        <v>115</v>
      </c>
      <c r="T33" s="108">
        <v>82.85</v>
      </c>
      <c r="U33" s="100">
        <v>19.5833333333</v>
      </c>
      <c r="V33" s="148">
        <f>MIN((U33/4)*12,T33)</f>
        <v>58.7499999999</v>
      </c>
      <c r="W33" s="105">
        <f>I33*O33</f>
        <v>177</v>
      </c>
      <c r="X33" s="117">
        <f>(I33*O33)/(0.85*Q33*V33)</f>
        <v>0.8861076345446873</v>
      </c>
      <c r="Y33" s="113">
        <f>(0.9*((I33*O33*(J33/2))+(0.85*Q33*X33*V33*(R33-(X33/2)))))/12</f>
        <v>112.73058557570961</v>
      </c>
      <c r="Z33" s="164">
        <f>IF(H33="v",0.9,1)</f>
        <v>1</v>
      </c>
      <c r="AA33" s="129">
        <f>IF(N33="NO",Z33*0.6*O33*J33*K33,Z33*0.6*O33*J33*K33*N33)</f>
        <v>56.25899999999999</v>
      </c>
      <c r="AB33" s="228">
        <v>17.2</v>
      </c>
      <c r="AC33" s="106">
        <f>(W33/AB33)*2</f>
        <v>20.58139534883721</v>
      </c>
      <c r="AD33" s="109">
        <v>30</v>
      </c>
      <c r="AE33" s="109">
        <v>1.6</v>
      </c>
      <c r="AF33" s="183">
        <v>29</v>
      </c>
      <c r="AG33" s="183">
        <v>0</v>
      </c>
      <c r="AH33" s="133">
        <f>((AD33+AF33+AE33)*(T33/12))+G33+AG33</f>
        <v>430.3925</v>
      </c>
      <c r="AI33" s="264"/>
      <c r="AJ33" s="108">
        <v>100</v>
      </c>
      <c r="AK33" s="107">
        <f>IF(0.25+(15/($C$9*U33*(T33/12))^0.5)&gt;0.5,IF(0.25+(15/($C$9*U33*(T33/12))^0.5)&gt;1,1,0.25+(15/($C$9*U33*(T33/12))^0.5)),0.5)</f>
        <v>1</v>
      </c>
      <c r="AL33" s="106">
        <f>(AJ33*AK33)*(T33/12)</f>
        <v>690.4166666666666</v>
      </c>
      <c r="AM33" s="266"/>
      <c r="AN33" s="106">
        <f>(1.2*AH33)+(1.6*AL33)</f>
        <v>1621.1376666666667</v>
      </c>
      <c r="AO33" s="106"/>
      <c r="AP33" s="106">
        <f>1.4*AH33</f>
        <v>602.5495</v>
      </c>
      <c r="AQ33" s="106"/>
      <c r="AR33" s="107">
        <f>MAX((AP33*U33*U33)/8000,(AN33*U33*U33)/8000)</f>
        <v>77.71469413312666</v>
      </c>
      <c r="AS33" s="129">
        <f>MAX(AP33*U33/2000,AN33*U33/2000)</f>
        <v>15.87363965275076</v>
      </c>
      <c r="AT33" s="92" t="str">
        <f>IF(AND(Y33&gt;AR33,AA33&gt;AS33),"OK","NG")</f>
        <v>OK</v>
      </c>
      <c r="AU33" s="104">
        <f>((AE33+AF33)*(T33/12))+G33</f>
        <v>223.26749999999998</v>
      </c>
      <c r="AV33" s="221">
        <f t="shared" si="11"/>
        <v>18.605625</v>
      </c>
      <c r="AW33" s="106">
        <f>AJ33*(T33/12)</f>
        <v>690.4166666666666</v>
      </c>
      <c r="AX33" s="106">
        <f t="shared" si="13"/>
        <v>57.53472222222222</v>
      </c>
      <c r="AY33" s="108">
        <v>53.8</v>
      </c>
      <c r="AZ33" s="111">
        <f>(AU33*U33*U33)/8000</f>
        <v>10.703079589807313</v>
      </c>
      <c r="BA33" s="165"/>
      <c r="BB33" s="127">
        <v>0</v>
      </c>
      <c r="BC33" s="240">
        <f t="shared" si="18"/>
        <v>3.5569461827276565</v>
      </c>
      <c r="BD33" s="110">
        <v>180</v>
      </c>
      <c r="BE33" s="164">
        <f>(5*(AV33)*((U33*12)^4))/(384*29000000*AY33)</f>
        <v>0.4735591353232732</v>
      </c>
      <c r="BF33" s="111">
        <f>(5*(AX33)*((U33*12)^4))/(384*29000000*BD33)</f>
        <v>0.43769314682945204</v>
      </c>
      <c r="BG33" s="113">
        <f>(U33/360)*12</f>
        <v>0.6527777777766667</v>
      </c>
      <c r="BH33" s="92" t="str">
        <f>IF(BE33&gt;BG33,"NG","OK")</f>
        <v>OK</v>
      </c>
      <c r="BI33" s="92" t="str">
        <f>IF(BF33&gt;BG33,"NG","OK")</f>
        <v>OK</v>
      </c>
    </row>
    <row r="34" spans="2:61" s="174" customFormat="1" ht="12" thickBot="1">
      <c r="B34" s="521"/>
      <c r="C34" s="520"/>
      <c r="D34" s="175"/>
      <c r="E34" s="184"/>
      <c r="F34" s="232"/>
      <c r="G34" s="166"/>
      <c r="H34" s="274"/>
      <c r="I34" s="181"/>
      <c r="J34" s="205"/>
      <c r="K34" s="239"/>
      <c r="L34" s="203"/>
      <c r="M34" s="229"/>
      <c r="N34" s="217"/>
      <c r="O34" s="214"/>
      <c r="P34" s="167"/>
      <c r="Q34" s="214"/>
      <c r="R34" s="192"/>
      <c r="S34" s="214"/>
      <c r="T34" s="172"/>
      <c r="U34" s="168"/>
      <c r="V34" s="192"/>
      <c r="W34" s="170"/>
      <c r="X34" s="231"/>
      <c r="Y34" s="210"/>
      <c r="Z34" s="195"/>
      <c r="AA34" s="191"/>
      <c r="AB34" s="65"/>
      <c r="AC34" s="185"/>
      <c r="AD34" s="193"/>
      <c r="AE34" s="193"/>
      <c r="AF34" s="196"/>
      <c r="AG34" s="196"/>
      <c r="AH34" s="197"/>
      <c r="AI34" s="173"/>
      <c r="AJ34" s="186"/>
      <c r="AK34" s="194"/>
      <c r="AL34" s="185"/>
      <c r="AM34" s="185"/>
      <c r="AN34" s="185"/>
      <c r="AO34" s="185"/>
      <c r="AP34" s="185"/>
      <c r="AQ34" s="185"/>
      <c r="AR34" s="194"/>
      <c r="AS34" s="204"/>
      <c r="AT34" s="206"/>
      <c r="AU34" s="198"/>
      <c r="AV34" s="199"/>
      <c r="AW34" s="185"/>
      <c r="AX34" s="185"/>
      <c r="AY34" s="187"/>
      <c r="AZ34" s="200"/>
      <c r="BA34" s="521"/>
      <c r="BB34" s="544"/>
      <c r="BC34" s="524"/>
      <c r="BD34" s="545"/>
      <c r="BE34" s="201"/>
      <c r="BF34" s="200"/>
      <c r="BG34" s="210"/>
      <c r="BH34" s="202"/>
      <c r="BI34" s="202"/>
    </row>
    <row r="35" spans="2:61" ht="11.25">
      <c r="B35" s="118">
        <v>2</v>
      </c>
      <c r="C35" s="503">
        <f>B35*U35*$G35/1000</f>
        <v>1.3433333333333162</v>
      </c>
      <c r="D35" s="54"/>
      <c r="E35" s="250" t="s">
        <v>107</v>
      </c>
      <c r="F35" s="123" t="s">
        <v>170</v>
      </c>
      <c r="G35" s="139">
        <v>26</v>
      </c>
      <c r="H35" s="271" t="s">
        <v>89</v>
      </c>
      <c r="I35" s="140">
        <v>7.68</v>
      </c>
      <c r="J35" s="140">
        <v>15.7</v>
      </c>
      <c r="K35" s="230">
        <v>0.25</v>
      </c>
      <c r="L35" s="248">
        <v>56.8</v>
      </c>
      <c r="M35" s="154">
        <v>5</v>
      </c>
      <c r="N35" s="208">
        <f>IF(L35&lt;1.1*((M35*29000)/O35)^0.5,1,"NO")</f>
        <v>1</v>
      </c>
      <c r="O35" s="4">
        <v>50</v>
      </c>
      <c r="P35" s="6">
        <v>1.5</v>
      </c>
      <c r="Q35" s="4">
        <v>4</v>
      </c>
      <c r="R35" s="140">
        <v>4</v>
      </c>
      <c r="S35" s="4">
        <v>115</v>
      </c>
      <c r="T35" s="24">
        <v>240</v>
      </c>
      <c r="U35" s="140">
        <v>25.833333333333</v>
      </c>
      <c r="V35" s="996">
        <v>159.75</v>
      </c>
      <c r="W35" s="27">
        <f>I35*O35</f>
        <v>384</v>
      </c>
      <c r="X35" s="28">
        <f>(I35*O35)/(0.85*Q35*V35)</f>
        <v>0.7069870201601768</v>
      </c>
      <c r="Y35" s="102">
        <f>(0.9*((I35*O35*(J35/2))+(0.85*Q35*X35*V35*(R35-(X35/2)))))/12</f>
        <v>331.09938690969346</v>
      </c>
      <c r="Z35" s="162">
        <f>IF(H35="v",0.9,1)</f>
        <v>0.9</v>
      </c>
      <c r="AA35" s="209">
        <f>IF(N35="NO",Z35*0.6*O35*J35*K35,Z35*0.6*O35*J35*K35*N35)</f>
        <v>105.975</v>
      </c>
      <c r="AB35" s="6">
        <v>17.2</v>
      </c>
      <c r="AC35" s="143">
        <f>(W35/AB35)*2</f>
        <v>44.651162790697676</v>
      </c>
      <c r="AD35" s="4">
        <v>30</v>
      </c>
      <c r="AE35" s="4">
        <v>1.6</v>
      </c>
      <c r="AF35" s="141">
        <v>29</v>
      </c>
      <c r="AG35" s="141">
        <v>0</v>
      </c>
      <c r="AH35" s="144">
        <f>((AD35+AF35+AE35)*(T35/12))+G35+AG35</f>
        <v>1238</v>
      </c>
      <c r="AI35" s="262"/>
      <c r="AJ35" s="141">
        <v>100</v>
      </c>
      <c r="AK35" s="142">
        <f>IF(0.25+(15/($C$9*U35*(T35/12))^0.5)&gt;0.5,IF(0.25+(15/($C$9*U35*(T35/12))^0.5)&gt;1,1,0.25+(15/($C$9*U35*(T35/12))^0.5)),0.5)</f>
        <v>0.7166282626286944</v>
      </c>
      <c r="AL35" s="143">
        <f>(AJ35*AK35)*(T35/12)</f>
        <v>1433.2565252573888</v>
      </c>
      <c r="AM35" s="190"/>
      <c r="AN35" s="143">
        <f>(1.2*AH35)+(1.6*AL35)</f>
        <v>3778.810440411822</v>
      </c>
      <c r="AO35" s="143"/>
      <c r="AP35" s="143">
        <f>1.4*AH35</f>
        <v>1733.1999999999998</v>
      </c>
      <c r="AQ35" s="143"/>
      <c r="AR35" s="142">
        <f>MAX((AP35*U35*U35)/8000,(AN35*U35*U35)/8000)</f>
        <v>315.2288917739295</v>
      </c>
      <c r="AS35" s="86">
        <f>MAX(AP35*U35/2000,AN35*U35/2000)</f>
        <v>48.80963485531874</v>
      </c>
      <c r="AT35" s="90" t="str">
        <f>IF(AND(Y35&gt;AR35,AA35&gt;AS35),"OK","NG")</f>
        <v>OK</v>
      </c>
      <c r="AU35" s="103">
        <f>((AE35+AF35)*(T35/12))+G35</f>
        <v>638</v>
      </c>
      <c r="AV35" s="235">
        <f t="shared" si="11"/>
        <v>53.166666666666664</v>
      </c>
      <c r="AW35" s="143">
        <f>AJ35*(T35/12)</f>
        <v>2000</v>
      </c>
      <c r="AX35" s="143">
        <f t="shared" si="13"/>
        <v>166.66666666666666</v>
      </c>
      <c r="AY35" s="24">
        <v>301</v>
      </c>
      <c r="AZ35" s="68">
        <f>(AU35*U35*U35)/8000</f>
        <v>53.22204861110975</v>
      </c>
      <c r="BA35" s="118"/>
      <c r="BB35" s="50">
        <v>0</v>
      </c>
      <c r="BC35" s="237">
        <f t="shared" si="18"/>
        <v>3.6465064899199118</v>
      </c>
      <c r="BD35" s="66">
        <v>808.23</v>
      </c>
      <c r="BE35" s="162">
        <f>(5*(AV35)*((U35*12)^4))/(384*29000000*AY35)</f>
        <v>0.7324205051448497</v>
      </c>
      <c r="BF35" s="68">
        <f>(5*(AX35)*((U35*12)^4))/(384*29000000*BD35)</f>
        <v>0.8550693519749424</v>
      </c>
      <c r="BG35" s="102">
        <f>(U35/360)*12</f>
        <v>0.8611111111111001</v>
      </c>
      <c r="BH35" s="90" t="str">
        <f>IF(BE35&gt;BG35,"NG","OK")</f>
        <v>OK</v>
      </c>
      <c r="BI35" s="90" t="str">
        <f>IF(BF35&gt;BG35,"NG","OK")</f>
        <v>OK</v>
      </c>
    </row>
    <row r="36" spans="2:61" ht="12" thickBot="1">
      <c r="B36" s="381">
        <v>1</v>
      </c>
      <c r="C36" s="513">
        <f>B36*U36*$G36/1000</f>
        <v>0.38558800000000004</v>
      </c>
      <c r="D36" s="54"/>
      <c r="E36" s="268" t="s">
        <v>108</v>
      </c>
      <c r="F36" s="115" t="s">
        <v>219</v>
      </c>
      <c r="G36" s="218">
        <v>14</v>
      </c>
      <c r="H36" s="273" t="s">
        <v>89</v>
      </c>
      <c r="I36" s="100">
        <v>4.16</v>
      </c>
      <c r="J36" s="100">
        <v>11.9</v>
      </c>
      <c r="K36" s="116">
        <v>0.2</v>
      </c>
      <c r="L36" s="183">
        <v>54.3</v>
      </c>
      <c r="M36" s="156">
        <v>5</v>
      </c>
      <c r="N36" s="158">
        <f>IF(L36&lt;1.1*((M36*29000)/O36)^0.5,1,"NO")</f>
        <v>1</v>
      </c>
      <c r="O36" s="109">
        <v>50</v>
      </c>
      <c r="P36" s="95">
        <v>1.5</v>
      </c>
      <c r="Q36" s="109">
        <v>4</v>
      </c>
      <c r="R36" s="100">
        <v>4</v>
      </c>
      <c r="S36" s="109">
        <v>115</v>
      </c>
      <c r="T36" s="35">
        <v>53.25</v>
      </c>
      <c r="U36" s="100">
        <v>27.542</v>
      </c>
      <c r="V36" s="148">
        <f>MIN((U36/4)*12,T36)</f>
        <v>53.25</v>
      </c>
      <c r="W36" s="149">
        <f>I36*O36</f>
        <v>208</v>
      </c>
      <c r="X36" s="150">
        <f>(I36*O36)/(0.85*Q36*V36)</f>
        <v>1.1488539077602873</v>
      </c>
      <c r="Y36" s="113">
        <f>(0.9*((I36*O36*(J36/2))+(0.85*Q36*X36*V36*(R36-(X36/2)))))/12</f>
        <v>146.25893951946978</v>
      </c>
      <c r="Z36" s="164">
        <f>IF(H36="v",0.9,1)</f>
        <v>0.9</v>
      </c>
      <c r="AA36" s="129">
        <f>IF(N36="NO",Z36*0.6*O36*J36*K36,Z36*0.6*O36*J36*K36*N36)</f>
        <v>64.26</v>
      </c>
      <c r="AB36" s="228">
        <v>17.2</v>
      </c>
      <c r="AC36" s="106">
        <f>(W36/AB36)*2</f>
        <v>24.186046511627907</v>
      </c>
      <c r="AD36" s="109">
        <v>30</v>
      </c>
      <c r="AE36" s="109">
        <v>1.6</v>
      </c>
      <c r="AF36" s="183">
        <v>29</v>
      </c>
      <c r="AG36" s="183">
        <v>0</v>
      </c>
      <c r="AH36" s="133">
        <f>((AD36+AF36+AE36)*(T36/12))+G36+AG36</f>
        <v>282.9125</v>
      </c>
      <c r="AI36" s="267"/>
      <c r="AJ36" s="183">
        <v>100</v>
      </c>
      <c r="AK36" s="107">
        <f>IF(0.25+(15/($C$9*U36*(T36/12))^0.5)&gt;0.5,IF(0.25+(15/($C$9*U36*(T36/12))^0.5)&gt;1,1,0.25+(15/($C$9*U36*(T36/12))^0.5)),0.5)</f>
        <v>1</v>
      </c>
      <c r="AL36" s="106">
        <f>(AJ36*AK36)*(T36/12)</f>
        <v>443.75</v>
      </c>
      <c r="AM36" s="266"/>
      <c r="AN36" s="106">
        <f>(1.2*AH36)+(1.6*AL36)</f>
        <v>1049.495</v>
      </c>
      <c r="AO36" s="106"/>
      <c r="AP36" s="106">
        <f>1.4*AH36</f>
        <v>396.0775</v>
      </c>
      <c r="AQ36" s="106"/>
      <c r="AR36" s="107">
        <f>MAX((AP36*U36*U36)/8000,(AN36*U36*U36)/8000)</f>
        <v>99.51334731364751</v>
      </c>
      <c r="AS36" s="129">
        <f>MAX(AP36*U36/2000,AN36*U36/2000)</f>
        <v>14.452595644999999</v>
      </c>
      <c r="AT36" s="92" t="str">
        <f>IF(AND(Y36&gt;AR36,AA36&gt;AS36),"OK","NG")</f>
        <v>OK</v>
      </c>
      <c r="AU36" s="104">
        <f>((AE36+AF36)*(T36/12))+G36</f>
        <v>149.7875</v>
      </c>
      <c r="AV36" s="221">
        <f t="shared" si="11"/>
        <v>12.482291666666667</v>
      </c>
      <c r="AW36" s="106">
        <f>AJ36*(T36/12)</f>
        <v>443.75</v>
      </c>
      <c r="AX36" s="106">
        <f t="shared" si="13"/>
        <v>36.979166666666664</v>
      </c>
      <c r="AY36" s="35">
        <v>88.6</v>
      </c>
      <c r="AZ36" s="111">
        <f>(AU36*U36*U36)/8000</f>
        <v>14.20288377814375</v>
      </c>
      <c r="BA36" s="165"/>
      <c r="BB36" s="228">
        <v>0</v>
      </c>
      <c r="BC36" s="240">
        <f t="shared" si="18"/>
        <v>3.4255730461198564</v>
      </c>
      <c r="BD36" s="110">
        <v>270</v>
      </c>
      <c r="BE36" s="164">
        <f>(5*(AV36)*((U36*12)^4))/(384*29000000*AY36)</f>
        <v>0.7547589410268654</v>
      </c>
      <c r="BF36" s="111">
        <f>(5*(AX36)*((U36*12)^4))/(384*29000000*BD36)</f>
        <v>0.7337380107039908</v>
      </c>
      <c r="BG36" s="113">
        <f>(U36/360)*12</f>
        <v>0.9180666666666668</v>
      </c>
      <c r="BH36" s="92" t="str">
        <f>IF(BE36&gt;BG36,"NG","OK")</f>
        <v>OK</v>
      </c>
      <c r="BI36" s="92" t="str">
        <f>IF(BF36&gt;BG36,"NG","OK")</f>
        <v>OK</v>
      </c>
    </row>
    <row r="37" spans="5:62" s="167" customFormat="1" ht="11.25">
      <c r="E37" s="166"/>
      <c r="F37" s="166"/>
      <c r="G37" s="166"/>
      <c r="H37" s="166"/>
      <c r="I37" s="166"/>
      <c r="J37" s="168"/>
      <c r="K37" s="168"/>
      <c r="L37" s="169"/>
      <c r="M37" s="172"/>
      <c r="N37" s="170"/>
      <c r="O37" s="171"/>
      <c r="S37" s="168"/>
      <c r="U37" s="172"/>
      <c r="V37" s="168"/>
      <c r="W37" s="168"/>
      <c r="X37" s="170"/>
      <c r="Y37" s="169"/>
      <c r="Z37" s="168"/>
      <c r="AA37" s="168"/>
      <c r="AB37" s="172"/>
      <c r="AD37" s="172"/>
      <c r="AG37" s="172"/>
      <c r="AH37" s="172"/>
      <c r="AI37" s="173"/>
      <c r="AJ37" s="173"/>
      <c r="AK37" s="172"/>
      <c r="AL37" s="168"/>
      <c r="AM37" s="172"/>
      <c r="AN37" s="172"/>
      <c r="AO37" s="172"/>
      <c r="AP37" s="172"/>
      <c r="AQ37" s="172"/>
      <c r="AR37" s="172"/>
      <c r="AS37" s="168"/>
      <c r="AT37" s="172"/>
      <c r="AU37" s="166"/>
      <c r="AV37" s="172"/>
      <c r="AW37" s="172"/>
      <c r="AX37" s="172"/>
      <c r="AY37" s="172"/>
      <c r="AZ37" s="172"/>
      <c r="BA37" s="168"/>
      <c r="BD37" s="169"/>
      <c r="BF37" s="168"/>
      <c r="BG37" s="168"/>
      <c r="BH37" s="168"/>
      <c r="BI37" s="166"/>
      <c r="BJ37" s="166"/>
    </row>
    <row r="38" spans="4:62" s="174" customFormat="1" ht="11.25">
      <c r="D38" s="167"/>
      <c r="E38" s="166"/>
      <c r="F38" s="166"/>
      <c r="G38" s="166"/>
      <c r="H38" s="166"/>
      <c r="I38" s="166"/>
      <c r="J38" s="168"/>
      <c r="K38" s="168"/>
      <c r="L38" s="169"/>
      <c r="M38" s="172"/>
      <c r="N38" s="170"/>
      <c r="O38" s="171"/>
      <c r="P38" s="167"/>
      <c r="Q38" s="167"/>
      <c r="R38" s="167"/>
      <c r="S38" s="168"/>
      <c r="T38" s="167"/>
      <c r="U38" s="172"/>
      <c r="V38" s="168"/>
      <c r="W38" s="168"/>
      <c r="X38" s="170"/>
      <c r="Y38" s="169"/>
      <c r="Z38" s="168"/>
      <c r="AA38" s="168"/>
      <c r="AB38" s="172"/>
      <c r="AC38" s="167"/>
      <c r="AD38" s="172"/>
      <c r="AE38" s="167"/>
      <c r="AF38" s="167"/>
      <c r="AG38" s="172"/>
      <c r="AH38" s="172"/>
      <c r="AI38" s="173"/>
      <c r="AJ38" s="173"/>
      <c r="AK38" s="172"/>
      <c r="AL38" s="168"/>
      <c r="AM38" s="172"/>
      <c r="AN38" s="172"/>
      <c r="AO38" s="172"/>
      <c r="AP38" s="172"/>
      <c r="AQ38" s="172"/>
      <c r="AR38" s="172"/>
      <c r="AS38" s="168"/>
      <c r="AT38" s="172"/>
      <c r="AU38" s="166"/>
      <c r="AV38" s="172"/>
      <c r="AW38" s="172"/>
      <c r="AX38" s="172"/>
      <c r="AY38" s="172"/>
      <c r="AZ38" s="172"/>
      <c r="BA38" s="168"/>
      <c r="BB38" s="167"/>
      <c r="BC38" s="167"/>
      <c r="BD38" s="169"/>
      <c r="BE38" s="167"/>
      <c r="BF38" s="168"/>
      <c r="BG38" s="168"/>
      <c r="BH38" s="168"/>
      <c r="BI38" s="166"/>
      <c r="BJ38" s="166"/>
    </row>
    <row r="39" spans="6:12" ht="11.25">
      <c r="F39" s="75" t="s">
        <v>92</v>
      </c>
      <c r="G39" s="8" t="s">
        <v>93</v>
      </c>
      <c r="J39" s="8">
        <f>1.1*((5*29000)/50)^0.5</f>
        <v>59.23681287847955</v>
      </c>
      <c r="L39" s="13" t="s">
        <v>262</v>
      </c>
    </row>
    <row r="40" spans="7:12" ht="11.25">
      <c r="G40" s="8" t="s">
        <v>94</v>
      </c>
      <c r="L40" s="13">
        <f>SUM(B:B)</f>
        <v>17</v>
      </c>
    </row>
    <row r="42" spans="6:11" ht="11.25">
      <c r="F42" s="8" t="s">
        <v>261</v>
      </c>
      <c r="J42" s="318">
        <f>SUM(C:C)</f>
        <v>6.568921333328918</v>
      </c>
      <c r="K42" s="13" t="s">
        <v>35</v>
      </c>
    </row>
    <row r="44" ht="11.25">
      <c r="F44" s="13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136"/>
  <sheetViews>
    <sheetView workbookViewId="0" topLeftCell="AL28">
      <selection activeCell="BQ98" sqref="BQ98"/>
    </sheetView>
  </sheetViews>
  <sheetFormatPr defaultColWidth="9.140625" defaultRowHeight="12.75"/>
  <cols>
    <col min="1" max="1" width="1.1484375" style="8" customWidth="1"/>
    <col min="2" max="2" width="6.28125" style="8" customWidth="1"/>
    <col min="3" max="3" width="6.28125" style="494" customWidth="1"/>
    <col min="4" max="4" width="0.71875" style="8" customWidth="1"/>
    <col min="5" max="5" width="7.421875" style="75" customWidth="1"/>
    <col min="6" max="6" width="5.28125" style="75" customWidth="1"/>
    <col min="7" max="7" width="5.140625" style="8" customWidth="1"/>
    <col min="8" max="8" width="5.8515625" style="8" customWidth="1"/>
    <col min="9" max="9" width="5.00390625" style="8" bestFit="1" customWidth="1"/>
    <col min="10" max="10" width="5.421875" style="9" bestFit="1" customWidth="1"/>
    <col min="11" max="11" width="5.00390625" style="8" bestFit="1" customWidth="1"/>
    <col min="12" max="12" width="4.8515625" style="8" bestFit="1" customWidth="1"/>
    <col min="13" max="13" width="4.140625" style="8" bestFit="1" customWidth="1"/>
    <col min="14" max="14" width="2.8515625" style="8" bestFit="1" customWidth="1"/>
    <col min="15" max="15" width="4.140625" style="8" bestFit="1" customWidth="1"/>
    <col min="16" max="16" width="5.00390625" style="8" bestFit="1" customWidth="1"/>
    <col min="17" max="17" width="5.57421875" style="8" bestFit="1" customWidth="1"/>
    <col min="18" max="18" width="5.57421875" style="8" customWidth="1"/>
    <col min="19" max="19" width="4.8515625" style="8" bestFit="1" customWidth="1"/>
    <col min="20" max="20" width="5.8515625" style="8" customWidth="1"/>
    <col min="21" max="21" width="5.57421875" style="8" bestFit="1" customWidth="1"/>
    <col min="22" max="22" width="4.8515625" style="8" bestFit="1" customWidth="1"/>
    <col min="23" max="23" width="4.140625" style="8" bestFit="1" customWidth="1"/>
    <col min="24" max="24" width="5.57421875" style="8" customWidth="1"/>
    <col min="25" max="25" width="4.8515625" style="8" bestFit="1" customWidth="1"/>
    <col min="26" max="26" width="5.7109375" style="8" bestFit="1" customWidth="1"/>
    <col min="27" max="27" width="6.7109375" style="8" customWidth="1"/>
    <col min="28" max="28" width="4.8515625" style="8" bestFit="1" customWidth="1"/>
    <col min="29" max="29" width="6.7109375" style="8" bestFit="1" customWidth="1"/>
    <col min="30" max="30" width="5.7109375" style="8" bestFit="1" customWidth="1"/>
    <col min="31" max="32" width="6.57421875" style="8" bestFit="1" customWidth="1"/>
    <col min="33" max="33" width="4.421875" style="8" bestFit="1" customWidth="1"/>
    <col min="34" max="34" width="4.8515625" style="8" bestFit="1" customWidth="1"/>
    <col min="35" max="35" width="5.7109375" style="8" bestFit="1" customWidth="1"/>
    <col min="36" max="37" width="6.57421875" style="8" bestFit="1" customWidth="1"/>
    <col min="38" max="41" width="6.421875" style="8" bestFit="1" customWidth="1"/>
    <col min="42" max="43" width="7.421875" style="8" bestFit="1" customWidth="1"/>
    <col min="44" max="48" width="5.7109375" style="8" bestFit="1" customWidth="1"/>
    <col min="49" max="49" width="4.8515625" style="8" bestFit="1" customWidth="1"/>
    <col min="50" max="50" width="5.28125" style="8" bestFit="1" customWidth="1"/>
    <col min="51" max="51" width="4.8515625" style="8" bestFit="1" customWidth="1"/>
    <col min="52" max="52" width="5.140625" style="8" customWidth="1"/>
    <col min="53" max="53" width="5.00390625" style="8" bestFit="1" customWidth="1"/>
    <col min="54" max="54" width="5.28125" style="8" bestFit="1" customWidth="1"/>
    <col min="55" max="55" width="4.8515625" style="8" customWidth="1"/>
    <col min="56" max="56" width="4.8515625" style="8" bestFit="1" customWidth="1"/>
    <col min="57" max="57" width="6.28125" style="8" bestFit="1" customWidth="1"/>
    <col min="58" max="58" width="5.28125" style="8" bestFit="1" customWidth="1"/>
    <col min="59" max="59" width="6.8515625" style="8" customWidth="1"/>
    <col min="60" max="60" width="5.00390625" style="8" bestFit="1" customWidth="1"/>
    <col min="61" max="61" width="4.00390625" style="8" bestFit="1" customWidth="1"/>
    <col min="62" max="62" width="2.28125" style="8" bestFit="1" customWidth="1"/>
    <col min="63" max="63" width="4.140625" style="8" bestFit="1" customWidth="1"/>
    <col min="64" max="64" width="5.140625" style="8" bestFit="1" customWidth="1"/>
    <col min="65" max="65" width="5.00390625" style="8" bestFit="1" customWidth="1"/>
    <col min="66" max="66" width="3.57421875" style="8" bestFit="1" customWidth="1"/>
    <col min="67" max="69" width="4.28125" style="8" bestFit="1" customWidth="1"/>
    <col min="70" max="16384" width="9.140625" style="8" customWidth="1"/>
  </cols>
  <sheetData>
    <row r="1" spans="2:69" ht="20.25">
      <c r="B1" s="96" t="s">
        <v>64</v>
      </c>
      <c r="C1" s="75"/>
      <c r="E1" s="8"/>
      <c r="F1" s="8"/>
      <c r="G1" s="9"/>
      <c r="J1" s="8"/>
      <c r="S1" s="13"/>
      <c r="Y1" s="98" t="s">
        <v>286</v>
      </c>
      <c r="AS1" s="98" t="s">
        <v>287</v>
      </c>
      <c r="BQ1" s="98" t="s">
        <v>288</v>
      </c>
    </row>
    <row r="2" spans="2:13" ht="11.25">
      <c r="B2" s="53" t="s">
        <v>55</v>
      </c>
      <c r="C2" s="75"/>
      <c r="E2" s="8"/>
      <c r="F2" s="8"/>
      <c r="G2" s="9"/>
      <c r="J2" s="8"/>
      <c r="L2" s="241"/>
      <c r="M2" s="13"/>
    </row>
    <row r="3" spans="2:19" ht="11.25" customHeight="1">
      <c r="B3" s="75"/>
      <c r="C3" s="75"/>
      <c r="E3" s="8"/>
      <c r="F3" s="8"/>
      <c r="G3" s="9"/>
      <c r="J3" s="8"/>
      <c r="L3" s="283"/>
      <c r="M3" s="13"/>
      <c r="Q3" s="53" t="s">
        <v>142</v>
      </c>
      <c r="R3" s="75"/>
      <c r="S3" s="97" t="s">
        <v>143</v>
      </c>
    </row>
    <row r="4" spans="2:19" ht="11.25" customHeight="1">
      <c r="B4" s="98" t="s">
        <v>275</v>
      </c>
      <c r="C4" s="494" t="s">
        <v>274</v>
      </c>
      <c r="E4" s="97">
        <v>15</v>
      </c>
      <c r="F4" s="8" t="s">
        <v>66</v>
      </c>
      <c r="J4" s="8"/>
      <c r="L4" s="241"/>
      <c r="M4" s="75"/>
      <c r="Q4" s="75"/>
      <c r="R4" s="75"/>
      <c r="S4" s="75" t="s">
        <v>144</v>
      </c>
    </row>
    <row r="5" spans="2:18" ht="11.25">
      <c r="B5" s="75"/>
      <c r="E5" s="75" t="s">
        <v>65</v>
      </c>
      <c r="F5" s="8"/>
      <c r="J5" s="8"/>
      <c r="M5" s="281"/>
      <c r="Q5" s="75"/>
      <c r="R5" s="75"/>
    </row>
    <row r="6" spans="2:20" ht="11.25">
      <c r="B6" s="75" t="s">
        <v>68</v>
      </c>
      <c r="E6" s="75">
        <v>2</v>
      </c>
      <c r="F6" s="8" t="s">
        <v>151</v>
      </c>
      <c r="J6" s="8"/>
      <c r="Q6" s="53" t="s">
        <v>145</v>
      </c>
      <c r="R6" s="75"/>
      <c r="S6" s="53" t="s">
        <v>146</v>
      </c>
      <c r="T6" s="75"/>
    </row>
    <row r="7" spans="2:20" ht="11.25">
      <c r="B7" s="75"/>
      <c r="C7" s="75"/>
      <c r="E7" s="8"/>
      <c r="F7" s="8"/>
      <c r="G7" s="9"/>
      <c r="J7" s="8"/>
      <c r="Q7" s="53" t="s">
        <v>147</v>
      </c>
      <c r="R7" s="75"/>
      <c r="S7" s="53" t="s">
        <v>148</v>
      </c>
      <c r="T7" s="75"/>
    </row>
    <row r="8" spans="2:21" ht="11.25">
      <c r="B8" s="53" t="s">
        <v>182</v>
      </c>
      <c r="C8" s="75"/>
      <c r="E8" s="8"/>
      <c r="F8" s="8"/>
      <c r="G8" s="9"/>
      <c r="J8" s="8"/>
      <c r="L8" s="283"/>
      <c r="Q8" s="53" t="s">
        <v>149</v>
      </c>
      <c r="R8" s="75"/>
      <c r="S8" s="53" t="s">
        <v>150</v>
      </c>
      <c r="T8" s="75"/>
      <c r="U8" s="13"/>
    </row>
    <row r="9" spans="2:21" ht="11.25">
      <c r="B9" s="53" t="s">
        <v>181</v>
      </c>
      <c r="C9" s="75"/>
      <c r="E9" s="8"/>
      <c r="F9" s="8"/>
      <c r="G9" s="9"/>
      <c r="J9" s="8"/>
      <c r="L9" s="283"/>
      <c r="S9" s="13"/>
      <c r="T9" s="13"/>
      <c r="U9" s="13"/>
    </row>
    <row r="10" spans="2:21" ht="11.25">
      <c r="B10" s="53" t="s">
        <v>179</v>
      </c>
      <c r="C10" s="75"/>
      <c r="E10" s="8"/>
      <c r="F10" s="8"/>
      <c r="G10" s="9"/>
      <c r="J10" s="8"/>
      <c r="L10" s="283"/>
      <c r="Q10" s="8" t="s">
        <v>261</v>
      </c>
      <c r="S10" s="13"/>
      <c r="T10" s="13"/>
      <c r="U10" s="13"/>
    </row>
    <row r="11" spans="2:21" ht="11.25">
      <c r="B11" s="53" t="s">
        <v>180</v>
      </c>
      <c r="C11" s="75"/>
      <c r="E11" s="8"/>
      <c r="F11" s="8"/>
      <c r="G11" s="9"/>
      <c r="J11" s="8"/>
      <c r="N11" s="13"/>
      <c r="Q11" s="318">
        <f>SUM(C:C)</f>
        <v>52.214499999999994</v>
      </c>
      <c r="R11" s="13" t="s">
        <v>35</v>
      </c>
      <c r="T11" s="13"/>
      <c r="U11" s="13"/>
    </row>
    <row r="12" spans="2:21" ht="11.25">
      <c r="B12" s="53" t="s">
        <v>80</v>
      </c>
      <c r="C12" s="75"/>
      <c r="E12" s="8"/>
      <c r="F12" s="8"/>
      <c r="G12" s="9"/>
      <c r="J12" s="8"/>
      <c r="N12" s="13"/>
      <c r="Q12" s="13"/>
      <c r="R12" s="13"/>
      <c r="T12" s="13"/>
      <c r="U12" s="13"/>
    </row>
    <row r="13" spans="5:21" ht="11.25">
      <c r="E13" s="8"/>
      <c r="F13" s="8"/>
      <c r="J13" s="8"/>
      <c r="Q13" s="13" t="s">
        <v>262</v>
      </c>
      <c r="S13" s="13"/>
      <c r="U13" s="13"/>
    </row>
    <row r="14" spans="5:21" ht="11.25">
      <c r="E14" s="13"/>
      <c r="F14" s="64"/>
      <c r="H14" s="64" t="s">
        <v>111</v>
      </c>
      <c r="I14" s="64"/>
      <c r="J14" s="13"/>
      <c r="Q14" s="13">
        <f>SUM(B:B)</f>
        <v>110</v>
      </c>
      <c r="S14" s="13"/>
      <c r="U14" s="13"/>
    </row>
    <row r="15" spans="5:22" ht="12" thickBot="1">
      <c r="E15" s="10"/>
      <c r="F15" s="279" t="s">
        <v>121</v>
      </c>
      <c r="G15" s="279"/>
      <c r="H15" s="279"/>
      <c r="I15" s="280" t="s">
        <v>122</v>
      </c>
      <c r="J15" s="167"/>
      <c r="Q15" s="13"/>
      <c r="R15" s="13"/>
      <c r="S15" s="13"/>
      <c r="U15" s="13"/>
      <c r="V15" s="13"/>
    </row>
    <row r="16" spans="5:22" ht="12" thickTop="1">
      <c r="E16" s="8"/>
      <c r="F16" s="98" t="s">
        <v>123</v>
      </c>
      <c r="H16" s="14" t="s">
        <v>123</v>
      </c>
      <c r="I16" s="167"/>
      <c r="J16" s="167"/>
      <c r="Q16" s="13"/>
      <c r="R16" s="13"/>
      <c r="S16" s="13"/>
      <c r="U16" s="13"/>
      <c r="V16" s="13"/>
    </row>
    <row r="17" spans="5:22" ht="11.25">
      <c r="E17" s="276"/>
      <c r="G17" s="98" t="s">
        <v>21</v>
      </c>
      <c r="I17" s="269"/>
      <c r="J17" s="167"/>
      <c r="Q17" s="13"/>
      <c r="R17" s="13"/>
      <c r="S17" s="13"/>
      <c r="U17" s="13"/>
      <c r="V17" s="13"/>
    </row>
    <row r="18" spans="5:22" ht="11.25">
      <c r="E18" s="276"/>
      <c r="F18" s="8"/>
      <c r="H18" s="13"/>
      <c r="I18" s="10"/>
      <c r="J18" s="13"/>
      <c r="Q18" s="13"/>
      <c r="R18" s="13"/>
      <c r="S18" s="13"/>
      <c r="U18" s="13"/>
      <c r="V18" s="13"/>
    </row>
    <row r="19" spans="2:22" ht="12" thickBot="1">
      <c r="B19" s="36"/>
      <c r="C19" s="495"/>
      <c r="E19" s="53"/>
      <c r="Q19" s="13"/>
      <c r="R19" s="13"/>
      <c r="S19" s="13"/>
      <c r="U19" s="13"/>
      <c r="V19" s="13"/>
    </row>
    <row r="20" spans="2:55" s="548" customFormat="1" ht="9.75" thickBot="1">
      <c r="B20" s="549"/>
      <c r="C20" s="550"/>
      <c r="D20" s="551"/>
      <c r="E20" s="552" t="s">
        <v>152</v>
      </c>
      <c r="F20" s="553"/>
      <c r="G20" s="554"/>
      <c r="H20" s="554"/>
      <c r="I20" s="554"/>
      <c r="J20" s="555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6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4"/>
      <c r="AP20" s="556"/>
      <c r="AQ20" s="554"/>
      <c r="AR20" s="554"/>
      <c r="AS20" s="554"/>
      <c r="AT20" s="554"/>
      <c r="AU20" s="554"/>
      <c r="AV20" s="554"/>
      <c r="AW20" s="554"/>
      <c r="AX20" s="554"/>
      <c r="AY20" s="554"/>
      <c r="AZ20" s="554"/>
      <c r="BA20" s="554"/>
      <c r="BB20" s="554"/>
      <c r="BC20" s="556"/>
    </row>
    <row r="21" spans="2:55" s="548" customFormat="1" ht="9">
      <c r="B21" s="557" t="s">
        <v>244</v>
      </c>
      <c r="C21" s="558" t="s">
        <v>56</v>
      </c>
      <c r="D21" s="551"/>
      <c r="E21" s="559" t="s">
        <v>124</v>
      </c>
      <c r="F21" s="560" t="s">
        <v>124</v>
      </c>
      <c r="G21" s="561" t="s">
        <v>58</v>
      </c>
      <c r="H21" s="561"/>
      <c r="I21" s="561"/>
      <c r="J21" s="561"/>
      <c r="K21" s="561"/>
      <c r="L21" s="562"/>
      <c r="M21" s="563" t="s">
        <v>34</v>
      </c>
      <c r="N21" s="564"/>
      <c r="O21" s="565" t="s">
        <v>61</v>
      </c>
      <c r="P21" s="566"/>
      <c r="Q21" s="567" t="s">
        <v>25</v>
      </c>
      <c r="R21" s="568"/>
      <c r="S21" s="568"/>
      <c r="T21" s="561" t="s">
        <v>125</v>
      </c>
      <c r="U21" s="569"/>
      <c r="V21" s="551"/>
      <c r="W21" s="570"/>
      <c r="X21" s="571" t="s">
        <v>17</v>
      </c>
      <c r="Y21" s="572"/>
      <c r="Z21" s="573" t="s">
        <v>281</v>
      </c>
      <c r="AA21" s="574" t="s">
        <v>281</v>
      </c>
      <c r="AB21" s="575" t="s">
        <v>281</v>
      </c>
      <c r="AC21" s="575" t="s">
        <v>281</v>
      </c>
      <c r="AD21" s="576" t="s">
        <v>281</v>
      </c>
      <c r="AE21" s="574" t="s">
        <v>282</v>
      </c>
      <c r="AF21" s="574" t="s">
        <v>282</v>
      </c>
      <c r="AG21" s="574" t="s">
        <v>282</v>
      </c>
      <c r="AH21" s="574" t="s">
        <v>282</v>
      </c>
      <c r="AI21" s="577" t="s">
        <v>282</v>
      </c>
      <c r="AJ21" s="578" t="s">
        <v>282</v>
      </c>
      <c r="AK21" s="573" t="s">
        <v>283</v>
      </c>
      <c r="AL21" s="576" t="s">
        <v>284</v>
      </c>
      <c r="AM21" s="573" t="s">
        <v>8</v>
      </c>
      <c r="AN21" s="579"/>
      <c r="AO21" s="572"/>
      <c r="AP21" s="578" t="s">
        <v>50</v>
      </c>
      <c r="AQ21" s="576" t="s">
        <v>281</v>
      </c>
      <c r="AR21" s="574" t="s">
        <v>282</v>
      </c>
      <c r="AS21" s="574" t="s">
        <v>34</v>
      </c>
      <c r="AT21" s="577" t="s">
        <v>13</v>
      </c>
      <c r="AU21" s="576" t="s">
        <v>34</v>
      </c>
      <c r="AV21" s="579"/>
      <c r="AW21" s="580"/>
      <c r="AX21" s="577" t="s">
        <v>29</v>
      </c>
      <c r="AY21" s="574" t="s">
        <v>13</v>
      </c>
      <c r="AZ21" s="577"/>
      <c r="BA21" s="551"/>
      <c r="BB21" s="581" t="s">
        <v>7</v>
      </c>
      <c r="BC21" s="582" t="s">
        <v>8</v>
      </c>
    </row>
    <row r="22" spans="2:55" s="548" customFormat="1" ht="9">
      <c r="B22" s="570"/>
      <c r="C22" s="583"/>
      <c r="D22" s="551"/>
      <c r="E22" s="559"/>
      <c r="F22" s="582"/>
      <c r="G22" s="584"/>
      <c r="H22" s="584"/>
      <c r="I22" s="584"/>
      <c r="J22" s="584"/>
      <c r="K22" s="584"/>
      <c r="L22" s="585"/>
      <c r="M22" s="571" t="s">
        <v>1</v>
      </c>
      <c r="N22" s="586"/>
      <c r="O22" s="587" t="s">
        <v>62</v>
      </c>
      <c r="P22" s="587" t="s">
        <v>63</v>
      </c>
      <c r="Q22" s="588" t="s">
        <v>26</v>
      </c>
      <c r="R22" s="589"/>
      <c r="S22" s="589"/>
      <c r="T22" s="571" t="s">
        <v>130</v>
      </c>
      <c r="U22" s="572"/>
      <c r="V22" s="578" t="s">
        <v>51</v>
      </c>
      <c r="W22" s="576" t="s">
        <v>52</v>
      </c>
      <c r="X22" s="571" t="s">
        <v>18</v>
      </c>
      <c r="Y22" s="577" t="s">
        <v>30</v>
      </c>
      <c r="Z22" s="573" t="s">
        <v>131</v>
      </c>
      <c r="AA22" s="574" t="s">
        <v>132</v>
      </c>
      <c r="AB22" s="575" t="s">
        <v>72</v>
      </c>
      <c r="AC22" s="575" t="s">
        <v>61</v>
      </c>
      <c r="AD22" s="576" t="s">
        <v>62</v>
      </c>
      <c r="AE22" s="574" t="s">
        <v>133</v>
      </c>
      <c r="AF22" s="574" t="s">
        <v>132</v>
      </c>
      <c r="AG22" s="574" t="s">
        <v>72</v>
      </c>
      <c r="AH22" s="574" t="s">
        <v>61</v>
      </c>
      <c r="AI22" s="577" t="s">
        <v>87</v>
      </c>
      <c r="AJ22" s="578" t="s">
        <v>62</v>
      </c>
      <c r="AK22" s="573" t="s">
        <v>131</v>
      </c>
      <c r="AL22" s="576" t="s">
        <v>131</v>
      </c>
      <c r="AM22" s="573" t="s">
        <v>67</v>
      </c>
      <c r="AN22" s="574" t="s">
        <v>14</v>
      </c>
      <c r="AO22" s="577" t="s">
        <v>36</v>
      </c>
      <c r="AP22" s="582" t="s">
        <v>37</v>
      </c>
      <c r="AQ22" s="576" t="s">
        <v>85</v>
      </c>
      <c r="AR22" s="574" t="s">
        <v>85</v>
      </c>
      <c r="AS22" s="575" t="s">
        <v>33</v>
      </c>
      <c r="AT22" s="578" t="s">
        <v>14</v>
      </c>
      <c r="AU22" s="578" t="s">
        <v>51</v>
      </c>
      <c r="AV22" s="575" t="s">
        <v>9</v>
      </c>
      <c r="AW22" s="571" t="s">
        <v>10</v>
      </c>
      <c r="AX22" s="577" t="s">
        <v>46</v>
      </c>
      <c r="AY22" s="574" t="s">
        <v>41</v>
      </c>
      <c r="AZ22" s="577" t="s">
        <v>42</v>
      </c>
      <c r="BA22" s="590" t="s">
        <v>134</v>
      </c>
      <c r="BB22" s="581" t="s">
        <v>39</v>
      </c>
      <c r="BC22" s="582" t="s">
        <v>39</v>
      </c>
    </row>
    <row r="23" spans="2:55" s="548" customFormat="1" ht="9">
      <c r="B23" s="570"/>
      <c r="C23" s="583"/>
      <c r="D23" s="551"/>
      <c r="E23" s="559"/>
      <c r="F23" s="582"/>
      <c r="G23" s="591" t="s">
        <v>59</v>
      </c>
      <c r="H23" s="579" t="s">
        <v>56</v>
      </c>
      <c r="I23" s="575" t="s">
        <v>47</v>
      </c>
      <c r="J23" s="575" t="s">
        <v>0</v>
      </c>
      <c r="K23" s="575" t="s">
        <v>2</v>
      </c>
      <c r="L23" s="575" t="s">
        <v>3</v>
      </c>
      <c r="M23" s="571" t="s">
        <v>19</v>
      </c>
      <c r="N23" s="575" t="s">
        <v>4</v>
      </c>
      <c r="O23" s="575" t="s">
        <v>19</v>
      </c>
      <c r="P23" s="575" t="s">
        <v>56</v>
      </c>
      <c r="Q23" s="588" t="s">
        <v>16</v>
      </c>
      <c r="R23" s="575" t="s">
        <v>21</v>
      </c>
      <c r="S23" s="575" t="s">
        <v>48</v>
      </c>
      <c r="T23" s="571" t="s">
        <v>49</v>
      </c>
      <c r="U23" s="577" t="s">
        <v>5</v>
      </c>
      <c r="V23" s="578" t="s">
        <v>53</v>
      </c>
      <c r="W23" s="576" t="s">
        <v>135</v>
      </c>
      <c r="X23" s="571" t="s">
        <v>32</v>
      </c>
      <c r="Y23" s="577" t="s">
        <v>31</v>
      </c>
      <c r="Z23" s="573"/>
      <c r="AA23" s="574" t="s">
        <v>71</v>
      </c>
      <c r="AB23" s="575"/>
      <c r="AC23" s="575" t="s">
        <v>7</v>
      </c>
      <c r="AD23" s="576"/>
      <c r="AE23" s="574"/>
      <c r="AF23" s="574" t="s">
        <v>71</v>
      </c>
      <c r="AG23" s="574"/>
      <c r="AH23" s="574"/>
      <c r="AI23" s="577" t="s">
        <v>86</v>
      </c>
      <c r="AJ23" s="578"/>
      <c r="AK23" s="573"/>
      <c r="AL23" s="576"/>
      <c r="AM23" s="573" t="s">
        <v>27</v>
      </c>
      <c r="AN23" s="574"/>
      <c r="AO23" s="577"/>
      <c r="AP23" s="578" t="s">
        <v>54</v>
      </c>
      <c r="AQ23" s="576"/>
      <c r="AR23" s="574"/>
      <c r="AS23" s="589"/>
      <c r="AT23" s="572"/>
      <c r="AU23" s="551"/>
      <c r="AV23" s="579"/>
      <c r="AW23" s="589"/>
      <c r="AX23" s="572"/>
      <c r="AY23" s="579"/>
      <c r="AZ23" s="572"/>
      <c r="BA23" s="570"/>
      <c r="BB23" s="570"/>
      <c r="BC23" s="570"/>
    </row>
    <row r="24" spans="2:55" s="548" customFormat="1" ht="9.75" thickBot="1">
      <c r="B24" s="592"/>
      <c r="C24" s="593" t="s">
        <v>246</v>
      </c>
      <c r="D24" s="551"/>
      <c r="E24" s="594"/>
      <c r="F24" s="595"/>
      <c r="G24" s="596" t="s">
        <v>60</v>
      </c>
      <c r="H24" s="596" t="s">
        <v>11</v>
      </c>
      <c r="I24" s="597" t="s">
        <v>43</v>
      </c>
      <c r="J24" s="597" t="s">
        <v>40</v>
      </c>
      <c r="K24" s="597" t="s">
        <v>40</v>
      </c>
      <c r="L24" s="597" t="s">
        <v>44</v>
      </c>
      <c r="M24" s="598" t="s">
        <v>40</v>
      </c>
      <c r="N24" s="597" t="s">
        <v>44</v>
      </c>
      <c r="O24" s="597" t="s">
        <v>40</v>
      </c>
      <c r="P24" s="597" t="s">
        <v>57</v>
      </c>
      <c r="Q24" s="599" t="s">
        <v>40</v>
      </c>
      <c r="R24" s="597" t="s">
        <v>12</v>
      </c>
      <c r="S24" s="597" t="s">
        <v>40</v>
      </c>
      <c r="T24" s="598" t="s">
        <v>35</v>
      </c>
      <c r="U24" s="600" t="s">
        <v>40</v>
      </c>
      <c r="V24" s="601" t="s">
        <v>45</v>
      </c>
      <c r="W24" s="602" t="s">
        <v>35</v>
      </c>
      <c r="X24" s="598" t="s">
        <v>24</v>
      </c>
      <c r="Y24" s="600" t="s">
        <v>22</v>
      </c>
      <c r="Z24" s="603" t="s">
        <v>31</v>
      </c>
      <c r="AA24" s="604" t="s">
        <v>31</v>
      </c>
      <c r="AB24" s="597" t="s">
        <v>31</v>
      </c>
      <c r="AC24" s="597" t="s">
        <v>31</v>
      </c>
      <c r="AD24" s="602" t="s">
        <v>31</v>
      </c>
      <c r="AE24" s="604" t="s">
        <v>11</v>
      </c>
      <c r="AF24" s="604" t="s">
        <v>11</v>
      </c>
      <c r="AG24" s="604" t="s">
        <v>11</v>
      </c>
      <c r="AH24" s="604" t="s">
        <v>11</v>
      </c>
      <c r="AI24" s="600" t="s">
        <v>11</v>
      </c>
      <c r="AJ24" s="601" t="s">
        <v>11</v>
      </c>
      <c r="AK24" s="603" t="s">
        <v>31</v>
      </c>
      <c r="AL24" s="602" t="s">
        <v>31</v>
      </c>
      <c r="AM24" s="605"/>
      <c r="AN24" s="604" t="s">
        <v>45</v>
      </c>
      <c r="AO24" s="600" t="s">
        <v>35</v>
      </c>
      <c r="AP24" s="606" t="s">
        <v>23</v>
      </c>
      <c r="AQ24" s="602" t="s">
        <v>31</v>
      </c>
      <c r="AR24" s="604" t="s">
        <v>11</v>
      </c>
      <c r="AS24" s="607" t="s">
        <v>38</v>
      </c>
      <c r="AT24" s="601" t="s">
        <v>45</v>
      </c>
      <c r="AU24" s="601" t="s">
        <v>45</v>
      </c>
      <c r="AV24" s="597" t="s">
        <v>40</v>
      </c>
      <c r="AW24" s="597" t="s">
        <v>40</v>
      </c>
      <c r="AX24" s="606" t="s">
        <v>38</v>
      </c>
      <c r="AY24" s="604" t="s">
        <v>40</v>
      </c>
      <c r="AZ24" s="600" t="s">
        <v>40</v>
      </c>
      <c r="BA24" s="606" t="s">
        <v>40</v>
      </c>
      <c r="BB24" s="608" t="s">
        <v>23</v>
      </c>
      <c r="BC24" s="595" t="s">
        <v>23</v>
      </c>
    </row>
    <row r="25" spans="2:55" s="548" customFormat="1" ht="9.75" thickBot="1">
      <c r="B25" s="592">
        <v>2</v>
      </c>
      <c r="C25" s="609">
        <f>B25*R25*$H25/1000</f>
        <v>5.44</v>
      </c>
      <c r="D25" s="551"/>
      <c r="E25" s="610" t="s">
        <v>153</v>
      </c>
      <c r="F25" s="611" t="s">
        <v>154</v>
      </c>
      <c r="G25" s="612" t="s">
        <v>138</v>
      </c>
      <c r="H25" s="613">
        <v>68</v>
      </c>
      <c r="I25" s="614">
        <v>20.1</v>
      </c>
      <c r="J25" s="614">
        <v>23.7</v>
      </c>
      <c r="K25" s="615">
        <v>0.415</v>
      </c>
      <c r="L25" s="616">
        <v>50</v>
      </c>
      <c r="M25" s="554">
        <v>1.5</v>
      </c>
      <c r="N25" s="616">
        <v>4</v>
      </c>
      <c r="O25" s="614">
        <v>4</v>
      </c>
      <c r="P25" s="616">
        <v>115</v>
      </c>
      <c r="Q25" s="617">
        <v>46.5</v>
      </c>
      <c r="R25" s="614">
        <v>40</v>
      </c>
      <c r="S25" s="618">
        <f>MIN((R25/4)*12,Q25)</f>
        <v>46.5</v>
      </c>
      <c r="T25" s="619">
        <f>0.85*N25*(O25-M25)*S25</f>
        <v>395.25</v>
      </c>
      <c r="U25" s="620">
        <f>O25-M25</f>
        <v>2.5</v>
      </c>
      <c r="V25" s="621">
        <v>953.95</v>
      </c>
      <c r="W25" s="622">
        <f>0.6*L25*J25*K25</f>
        <v>295.065</v>
      </c>
      <c r="X25" s="554">
        <v>17.2</v>
      </c>
      <c r="Y25" s="623">
        <f>(T25/X25)*2</f>
        <v>45.9593023255814</v>
      </c>
      <c r="Z25" s="624">
        <v>418.5</v>
      </c>
      <c r="AA25" s="617">
        <v>4050</v>
      </c>
      <c r="AB25" s="625">
        <v>216</v>
      </c>
      <c r="AC25" s="617">
        <v>3915</v>
      </c>
      <c r="AD25" s="626">
        <f>SUM(Z25:AC25)</f>
        <v>8599.5</v>
      </c>
      <c r="AE25" s="627">
        <f>H25</f>
        <v>68</v>
      </c>
      <c r="AF25" s="628">
        <v>217.5</v>
      </c>
      <c r="AG25" s="628">
        <v>11.6</v>
      </c>
      <c r="AH25" s="628">
        <v>210.25</v>
      </c>
      <c r="AI25" s="629">
        <v>520</v>
      </c>
      <c r="AJ25" s="630">
        <f>SUM(AF25:AI25)</f>
        <v>959.35</v>
      </c>
      <c r="AK25" s="631">
        <v>16875</v>
      </c>
      <c r="AL25" s="631">
        <v>906.25</v>
      </c>
      <c r="AM25" s="618">
        <f>IF(0.25+(15/($E$6*R25*(Q25/12))^0.5)&gt;0.5,IF(0.25+(15/($E$6*R25*(Q25/12))^0.5)&gt;1,1,0.25+(15/($E$6*R25*(Q25/12))^0.5)),0.5)</f>
        <v>1</v>
      </c>
      <c r="AN25" s="618">
        <f>(1.2*(((AJ25*R25*R25)/8000)+((AD25*R25)/4000)))+(1.6*(((AL25*R25*R25)/8000)+((AK25*R25)/4000)))</f>
        <v>893.438</v>
      </c>
      <c r="AO25" s="623">
        <f>(1.2*((AJ25*R25*0.0005)+(AD25/2000)))+(1.6*((AL25*R25*0.0005)+(AK25/2000)))</f>
        <v>70.6841</v>
      </c>
      <c r="AP25" s="632" t="str">
        <f>IF(AND(V25&gt;AN25,W25&gt;AO25),"OK","NG")</f>
        <v>OK</v>
      </c>
      <c r="AQ25" s="633">
        <f>Z25+AB25+AC25</f>
        <v>4549.5</v>
      </c>
      <c r="AR25" s="634">
        <f>AE25+AG25+AH25</f>
        <v>289.85</v>
      </c>
      <c r="AS25" s="617">
        <v>1830</v>
      </c>
      <c r="AT25" s="635">
        <f>(AQ25*R25*R25)/8000</f>
        <v>909.9</v>
      </c>
      <c r="AU25" s="636"/>
      <c r="AV25" s="637">
        <v>2.638</v>
      </c>
      <c r="AW25" s="638">
        <f>O25-U25/2</f>
        <v>2.75</v>
      </c>
      <c r="AX25" s="639">
        <v>2970</v>
      </c>
      <c r="AY25" s="640">
        <f>(5*((AR25/12))*((R25*12)^4))/(384*29000000*AS25)+((AQ25*((R25*12)^3))/(48*29000000*AS25))</f>
        <v>0.5121049180327869</v>
      </c>
      <c r="AZ25" s="635">
        <f>(5*((AL25/12))*((R25*12)^4))/(384*29000000*AX25)+((AK25*((R25*12)^3))/(48*29000000*AX25))</f>
        <v>1.0574712643678161</v>
      </c>
      <c r="BA25" s="641">
        <f>(R25/400)*12</f>
        <v>1.2000000000000002</v>
      </c>
      <c r="BB25" s="642" t="str">
        <f>IF(AY25&gt;BA25,"NG","OK")</f>
        <v>OK</v>
      </c>
      <c r="BC25" s="632" t="str">
        <f>IF(AZ25&gt;BA25,"NG","OK")</f>
        <v>OK</v>
      </c>
    </row>
    <row r="26" spans="2:59" s="548" customFormat="1" ht="9">
      <c r="B26" s="643"/>
      <c r="C26" s="644"/>
      <c r="D26" s="580"/>
      <c r="E26" s="645"/>
      <c r="F26" s="645"/>
      <c r="G26" s="645"/>
      <c r="H26" s="645"/>
      <c r="I26" s="646"/>
      <c r="J26" s="646"/>
      <c r="K26" s="647"/>
      <c r="L26" s="580"/>
      <c r="M26" s="580"/>
      <c r="N26" s="580"/>
      <c r="O26" s="646"/>
      <c r="P26" s="580"/>
      <c r="Q26" s="648"/>
      <c r="R26" s="646"/>
      <c r="S26" s="649"/>
      <c r="T26" s="650"/>
      <c r="U26" s="651"/>
      <c r="V26" s="652"/>
      <c r="W26" s="653" t="s">
        <v>140</v>
      </c>
      <c r="X26" s="654"/>
      <c r="Y26" s="655"/>
      <c r="Z26" s="654"/>
      <c r="AA26" s="654"/>
      <c r="AB26" s="580"/>
      <c r="AC26" s="580"/>
      <c r="AD26" s="656"/>
      <c r="AE26" s="657"/>
      <c r="AF26" s="657"/>
      <c r="AG26" s="657"/>
      <c r="AH26" s="657"/>
      <c r="AI26" s="657"/>
      <c r="AJ26" s="657"/>
      <c r="AK26" s="657"/>
      <c r="AL26" s="657"/>
      <c r="AM26" s="657"/>
      <c r="AN26" s="646"/>
      <c r="AO26" s="649"/>
      <c r="AP26" s="654"/>
      <c r="AQ26" s="643"/>
      <c r="AS26" s="654"/>
      <c r="AT26" s="654"/>
      <c r="AU26" s="654"/>
      <c r="AV26" s="654"/>
      <c r="AW26" s="654"/>
      <c r="AX26" s="646"/>
      <c r="AY26" s="580"/>
      <c r="AZ26" s="658" t="s">
        <v>141</v>
      </c>
      <c r="BA26" s="651"/>
      <c r="BB26" s="655"/>
      <c r="BC26" s="649"/>
      <c r="BD26" s="649"/>
      <c r="BE26" s="649"/>
      <c r="BF26" s="643"/>
      <c r="BG26" s="643"/>
    </row>
    <row r="27" spans="3:59" s="548" customFormat="1" ht="9.75" thickBot="1">
      <c r="C27" s="659"/>
      <c r="E27" s="660"/>
      <c r="F27" s="661" t="s">
        <v>120</v>
      </c>
      <c r="G27" s="662"/>
      <c r="H27" s="662"/>
      <c r="I27" s="663" t="s">
        <v>121</v>
      </c>
      <c r="J27" s="663"/>
      <c r="K27" s="664" t="s">
        <v>122</v>
      </c>
      <c r="L27" s="655"/>
      <c r="R27" s="652"/>
      <c r="U27" s="656"/>
      <c r="V27" s="656"/>
      <c r="AQ27" s="580"/>
      <c r="BG27" s="580"/>
    </row>
    <row r="28" spans="3:21" s="548" customFormat="1" ht="9.75" thickTop="1">
      <c r="C28" s="659"/>
      <c r="E28" s="652"/>
      <c r="F28" s="665"/>
      <c r="H28" s="548" t="s">
        <v>21</v>
      </c>
      <c r="J28" s="645"/>
      <c r="K28" s="655"/>
      <c r="L28" s="655"/>
      <c r="R28" s="652"/>
      <c r="U28" s="656"/>
    </row>
    <row r="29" spans="3:21" s="548" customFormat="1" ht="9">
      <c r="C29" s="659"/>
      <c r="E29" s="660"/>
      <c r="J29" s="580"/>
      <c r="K29" s="579"/>
      <c r="L29" s="580"/>
      <c r="M29" s="580"/>
      <c r="N29" s="580"/>
      <c r="O29" s="580"/>
      <c r="P29" s="580"/>
      <c r="Q29" s="580"/>
      <c r="R29" s="580"/>
      <c r="S29" s="580"/>
      <c r="T29" s="580"/>
      <c r="U29" s="648"/>
    </row>
    <row r="30" spans="2:43" s="548" customFormat="1" ht="9.75" thickBot="1">
      <c r="B30" s="666"/>
      <c r="C30" s="659"/>
      <c r="E30" s="665"/>
      <c r="F30" s="667"/>
      <c r="J30" s="656"/>
      <c r="M30" s="580"/>
      <c r="N30" s="580"/>
      <c r="O30" s="580"/>
      <c r="P30" s="580"/>
      <c r="Q30" s="580"/>
      <c r="R30" s="580"/>
      <c r="S30" s="580"/>
      <c r="T30" s="580"/>
      <c r="U30" s="648"/>
      <c r="Z30" s="666"/>
      <c r="AA30" s="666"/>
      <c r="AB30" s="666"/>
      <c r="AC30" s="666"/>
      <c r="AD30" s="666"/>
      <c r="AE30" s="666"/>
      <c r="AF30" s="666"/>
      <c r="AG30" s="666"/>
      <c r="AH30" s="666"/>
      <c r="AI30" s="666"/>
      <c r="AJ30" s="666"/>
      <c r="AK30" s="666"/>
      <c r="AL30" s="666"/>
      <c r="AM30" s="666"/>
      <c r="AN30" s="666"/>
      <c r="AO30" s="666"/>
      <c r="AP30" s="666"/>
      <c r="AQ30" s="666"/>
    </row>
    <row r="31" spans="1:58" s="548" customFormat="1" ht="9.75" thickBot="1">
      <c r="A31" s="668"/>
      <c r="B31" s="669"/>
      <c r="C31" s="670"/>
      <c r="D31" s="551"/>
      <c r="E31" s="552" t="s">
        <v>191</v>
      </c>
      <c r="F31" s="671" t="s">
        <v>155</v>
      </c>
      <c r="G31" s="554"/>
      <c r="H31" s="554"/>
      <c r="I31" s="672"/>
      <c r="J31" s="554"/>
      <c r="K31" s="555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6"/>
      <c r="AE31" s="666"/>
      <c r="AF31" s="666"/>
      <c r="AG31" s="666"/>
      <c r="AH31" s="666"/>
      <c r="AI31" s="666"/>
      <c r="AJ31" s="666"/>
      <c r="AK31" s="666"/>
      <c r="AL31" s="666"/>
      <c r="AM31" s="666"/>
      <c r="AN31" s="554"/>
      <c r="AQ31" s="556"/>
      <c r="AR31" s="554"/>
      <c r="AS31" s="554"/>
      <c r="AT31" s="554"/>
      <c r="AU31" s="554"/>
      <c r="AV31" s="554"/>
      <c r="AW31" s="554"/>
      <c r="AX31" s="554"/>
      <c r="AY31" s="554"/>
      <c r="AZ31" s="554"/>
      <c r="BA31" s="554"/>
      <c r="BB31" s="554"/>
      <c r="BC31" s="554"/>
      <c r="BD31" s="554"/>
      <c r="BE31" s="554"/>
      <c r="BF31" s="556"/>
    </row>
    <row r="32" spans="2:58" s="548" customFormat="1" ht="9">
      <c r="B32" s="557" t="s">
        <v>244</v>
      </c>
      <c r="C32" s="558" t="s">
        <v>56</v>
      </c>
      <c r="D32" s="551"/>
      <c r="E32" s="559" t="s">
        <v>124</v>
      </c>
      <c r="F32" s="560" t="s">
        <v>124</v>
      </c>
      <c r="G32" s="561" t="s">
        <v>58</v>
      </c>
      <c r="H32" s="561"/>
      <c r="I32" s="673"/>
      <c r="J32" s="561"/>
      <c r="K32" s="561"/>
      <c r="L32" s="561"/>
      <c r="M32" s="561"/>
      <c r="N32" s="561"/>
      <c r="O32" s="561"/>
      <c r="P32" s="562"/>
      <c r="Q32" s="563" t="s">
        <v>34</v>
      </c>
      <c r="R32" s="564"/>
      <c r="S32" s="565" t="s">
        <v>61</v>
      </c>
      <c r="T32" s="566"/>
      <c r="U32" s="567" t="s">
        <v>25</v>
      </c>
      <c r="V32" s="568"/>
      <c r="W32" s="568"/>
      <c r="X32" s="571" t="s">
        <v>49</v>
      </c>
      <c r="Y32" s="569"/>
      <c r="Z32" s="674"/>
      <c r="AA32" s="675" t="s">
        <v>96</v>
      </c>
      <c r="AB32" s="676"/>
      <c r="AC32" s="563" t="s">
        <v>17</v>
      </c>
      <c r="AD32" s="568"/>
      <c r="AE32" s="575" t="s">
        <v>7</v>
      </c>
      <c r="AF32" s="575" t="s">
        <v>7</v>
      </c>
      <c r="AG32" s="677" t="s">
        <v>7</v>
      </c>
      <c r="AH32" s="571" t="s">
        <v>7</v>
      </c>
      <c r="AI32" s="575" t="s">
        <v>7</v>
      </c>
      <c r="AJ32" s="678" t="s">
        <v>8</v>
      </c>
      <c r="AK32" s="679" t="s">
        <v>8</v>
      </c>
      <c r="AL32" s="680" t="s">
        <v>8</v>
      </c>
      <c r="AM32" s="680" t="s">
        <v>97</v>
      </c>
      <c r="AN32" s="588" t="s">
        <v>98</v>
      </c>
      <c r="AO32" s="562"/>
      <c r="AP32" s="569"/>
      <c r="AQ32" s="681" t="s">
        <v>50</v>
      </c>
      <c r="AR32" s="574" t="s">
        <v>7</v>
      </c>
      <c r="AS32" s="571" t="s">
        <v>7</v>
      </c>
      <c r="AT32" s="575" t="s">
        <v>8</v>
      </c>
      <c r="AU32" s="575" t="s">
        <v>8</v>
      </c>
      <c r="AV32" s="574" t="s">
        <v>34</v>
      </c>
      <c r="AW32" s="578" t="s">
        <v>14</v>
      </c>
      <c r="AX32" s="578" t="s">
        <v>51</v>
      </c>
      <c r="AY32" s="575" t="s">
        <v>9</v>
      </c>
      <c r="AZ32" s="575" t="s">
        <v>10</v>
      </c>
      <c r="BA32" s="577" t="s">
        <v>29</v>
      </c>
      <c r="BB32" s="574" t="s">
        <v>41</v>
      </c>
      <c r="BC32" s="578" t="s">
        <v>42</v>
      </c>
      <c r="BD32" s="590" t="s">
        <v>99</v>
      </c>
      <c r="BE32" s="682" t="s">
        <v>7</v>
      </c>
      <c r="BF32" s="560" t="s">
        <v>8</v>
      </c>
    </row>
    <row r="33" spans="2:58" s="548" customFormat="1" ht="9">
      <c r="B33" s="570"/>
      <c r="C33" s="583"/>
      <c r="D33" s="551"/>
      <c r="E33" s="559"/>
      <c r="F33" s="582"/>
      <c r="G33" s="584"/>
      <c r="H33" s="584"/>
      <c r="I33" s="683"/>
      <c r="J33" s="584"/>
      <c r="K33" s="584"/>
      <c r="L33" s="584"/>
      <c r="M33" s="584"/>
      <c r="N33" s="584"/>
      <c r="O33" s="584"/>
      <c r="P33" s="585"/>
      <c r="Q33" s="571" t="s">
        <v>1</v>
      </c>
      <c r="R33" s="586"/>
      <c r="S33" s="587" t="s">
        <v>62</v>
      </c>
      <c r="T33" s="587" t="s">
        <v>63</v>
      </c>
      <c r="U33" s="588" t="s">
        <v>26</v>
      </c>
      <c r="V33" s="589"/>
      <c r="W33" s="589"/>
      <c r="Y33" s="572"/>
      <c r="Z33" s="578" t="s">
        <v>51</v>
      </c>
      <c r="AA33" s="684" t="s">
        <v>74</v>
      </c>
      <c r="AB33" s="578" t="s">
        <v>52</v>
      </c>
      <c r="AC33" s="571" t="s">
        <v>18</v>
      </c>
      <c r="AD33" s="575" t="s">
        <v>30</v>
      </c>
      <c r="AE33" s="575" t="s">
        <v>70</v>
      </c>
      <c r="AF33" s="575" t="s">
        <v>34</v>
      </c>
      <c r="AG33" s="575" t="s">
        <v>61</v>
      </c>
      <c r="AH33" s="679" t="s">
        <v>87</v>
      </c>
      <c r="AI33" s="575" t="s">
        <v>62</v>
      </c>
      <c r="AJ33" s="579"/>
      <c r="AK33" s="679" t="s">
        <v>67</v>
      </c>
      <c r="AL33" s="680" t="s">
        <v>81</v>
      </c>
      <c r="AM33" s="680" t="s">
        <v>15</v>
      </c>
      <c r="AN33" s="588"/>
      <c r="AO33" s="574" t="s">
        <v>14</v>
      </c>
      <c r="AP33" s="577" t="s">
        <v>36</v>
      </c>
      <c r="AQ33" s="582" t="s">
        <v>37</v>
      </c>
      <c r="AR33" s="574" t="s">
        <v>85</v>
      </c>
      <c r="AS33" s="580"/>
      <c r="AT33" s="589"/>
      <c r="AU33" s="589"/>
      <c r="AV33" s="574" t="s">
        <v>33</v>
      </c>
      <c r="AW33" s="577" t="s">
        <v>85</v>
      </c>
      <c r="AX33" s="576" t="s">
        <v>34</v>
      </c>
      <c r="AY33" s="579"/>
      <c r="AZ33" s="580"/>
      <c r="BA33" s="577" t="s">
        <v>46</v>
      </c>
      <c r="BB33" s="574" t="s">
        <v>13</v>
      </c>
      <c r="BC33" s="578"/>
      <c r="BD33" s="551"/>
      <c r="BE33" s="581" t="s">
        <v>39</v>
      </c>
      <c r="BF33" s="582" t="s">
        <v>39</v>
      </c>
    </row>
    <row r="34" spans="2:58" s="548" customFormat="1" ht="9">
      <c r="B34" s="570"/>
      <c r="C34" s="583"/>
      <c r="D34" s="551"/>
      <c r="E34" s="559"/>
      <c r="F34" s="582"/>
      <c r="G34" s="591" t="s">
        <v>59</v>
      </c>
      <c r="H34" s="579" t="s">
        <v>56</v>
      </c>
      <c r="I34" s="685" t="s">
        <v>88</v>
      </c>
      <c r="J34" s="575" t="s">
        <v>47</v>
      </c>
      <c r="K34" s="575" t="s">
        <v>0</v>
      </c>
      <c r="L34" s="575" t="s">
        <v>2</v>
      </c>
      <c r="M34" s="575" t="s">
        <v>90</v>
      </c>
      <c r="N34" s="575" t="s">
        <v>285</v>
      </c>
      <c r="O34" s="575" t="s">
        <v>95</v>
      </c>
      <c r="P34" s="575" t="s">
        <v>3</v>
      </c>
      <c r="Q34" s="571" t="s">
        <v>19</v>
      </c>
      <c r="R34" s="575" t="s">
        <v>4</v>
      </c>
      <c r="S34" s="575" t="s">
        <v>19</v>
      </c>
      <c r="T34" s="575" t="s">
        <v>56</v>
      </c>
      <c r="U34" s="588" t="s">
        <v>16</v>
      </c>
      <c r="V34" s="575" t="s">
        <v>21</v>
      </c>
      <c r="W34" s="575" t="s">
        <v>48</v>
      </c>
      <c r="X34" s="571" t="s">
        <v>6</v>
      </c>
      <c r="Y34" s="577" t="s">
        <v>5</v>
      </c>
      <c r="Z34" s="578" t="s">
        <v>53</v>
      </c>
      <c r="AA34" s="573"/>
      <c r="AB34" s="578"/>
      <c r="AC34" s="571" t="s">
        <v>32</v>
      </c>
      <c r="AD34" s="575" t="s">
        <v>31</v>
      </c>
      <c r="AE34" s="575" t="s">
        <v>71</v>
      </c>
      <c r="AF34" s="575" t="s">
        <v>72</v>
      </c>
      <c r="AG34" s="575"/>
      <c r="AH34" s="679" t="s">
        <v>86</v>
      </c>
      <c r="AI34" s="575"/>
      <c r="AJ34" s="589"/>
      <c r="AK34" s="679" t="s">
        <v>27</v>
      </c>
      <c r="AL34" s="680" t="s">
        <v>82</v>
      </c>
      <c r="AM34" s="575" t="s">
        <v>83</v>
      </c>
      <c r="AN34" s="574" t="s">
        <v>83</v>
      </c>
      <c r="AO34" s="574"/>
      <c r="AP34" s="577"/>
      <c r="AQ34" s="578" t="s">
        <v>54</v>
      </c>
      <c r="AR34" s="686"/>
      <c r="AS34" s="589"/>
      <c r="AT34" s="589"/>
      <c r="AU34" s="589"/>
      <c r="AV34" s="589"/>
      <c r="AW34" s="572"/>
      <c r="AX34" s="576" t="s">
        <v>84</v>
      </c>
      <c r="AY34" s="579"/>
      <c r="AZ34" s="589"/>
      <c r="BA34" s="551"/>
      <c r="BB34" s="579"/>
      <c r="BC34" s="572"/>
      <c r="BD34" s="570"/>
      <c r="BE34" s="570"/>
      <c r="BF34" s="570"/>
    </row>
    <row r="35" spans="2:58" s="548" customFormat="1" ht="9.75" thickBot="1">
      <c r="B35" s="592"/>
      <c r="C35" s="593" t="s">
        <v>246</v>
      </c>
      <c r="D35" s="551"/>
      <c r="E35" s="594"/>
      <c r="F35" s="595"/>
      <c r="G35" s="596" t="s">
        <v>60</v>
      </c>
      <c r="H35" s="612" t="s">
        <v>11</v>
      </c>
      <c r="I35" s="687"/>
      <c r="J35" s="597" t="s">
        <v>43</v>
      </c>
      <c r="K35" s="597" t="s">
        <v>40</v>
      </c>
      <c r="L35" s="597" t="s">
        <v>40</v>
      </c>
      <c r="M35" s="597"/>
      <c r="N35" s="597"/>
      <c r="O35" s="597"/>
      <c r="P35" s="597" t="s">
        <v>44</v>
      </c>
      <c r="Q35" s="598" t="s">
        <v>40</v>
      </c>
      <c r="R35" s="597" t="s">
        <v>44</v>
      </c>
      <c r="S35" s="597" t="s">
        <v>40</v>
      </c>
      <c r="T35" s="597" t="s">
        <v>57</v>
      </c>
      <c r="U35" s="599" t="s">
        <v>40</v>
      </c>
      <c r="V35" s="597" t="s">
        <v>12</v>
      </c>
      <c r="W35" s="597" t="s">
        <v>40</v>
      </c>
      <c r="X35" s="598" t="s">
        <v>35</v>
      </c>
      <c r="Y35" s="600" t="s">
        <v>40</v>
      </c>
      <c r="Z35" s="601" t="s">
        <v>45</v>
      </c>
      <c r="AA35" s="603"/>
      <c r="AB35" s="601" t="s">
        <v>35</v>
      </c>
      <c r="AC35" s="598" t="s">
        <v>24</v>
      </c>
      <c r="AD35" s="597" t="s">
        <v>22</v>
      </c>
      <c r="AE35" s="597" t="s">
        <v>28</v>
      </c>
      <c r="AF35" s="597" t="s">
        <v>28</v>
      </c>
      <c r="AG35" s="604" t="s">
        <v>28</v>
      </c>
      <c r="AH35" s="604" t="s">
        <v>11</v>
      </c>
      <c r="AI35" s="597" t="s">
        <v>11</v>
      </c>
      <c r="AJ35" s="607" t="s">
        <v>28</v>
      </c>
      <c r="AK35" s="605"/>
      <c r="AL35" s="688" t="s">
        <v>11</v>
      </c>
      <c r="AM35" s="689" t="s">
        <v>11</v>
      </c>
      <c r="AN35" s="690" t="s">
        <v>11</v>
      </c>
      <c r="AO35" s="604" t="s">
        <v>45</v>
      </c>
      <c r="AP35" s="600" t="s">
        <v>35</v>
      </c>
      <c r="AQ35" s="606" t="s">
        <v>23</v>
      </c>
      <c r="AR35" s="691" t="s">
        <v>11</v>
      </c>
      <c r="AS35" s="692" t="s">
        <v>20</v>
      </c>
      <c r="AT35" s="693" t="s">
        <v>11</v>
      </c>
      <c r="AU35" s="693" t="s">
        <v>20</v>
      </c>
      <c r="AV35" s="607" t="s">
        <v>38</v>
      </c>
      <c r="AW35" s="601" t="s">
        <v>45</v>
      </c>
      <c r="AX35" s="601" t="s">
        <v>45</v>
      </c>
      <c r="AY35" s="597" t="s">
        <v>40</v>
      </c>
      <c r="AZ35" s="597" t="s">
        <v>40</v>
      </c>
      <c r="BA35" s="606" t="s">
        <v>38</v>
      </c>
      <c r="BB35" s="604" t="s">
        <v>40</v>
      </c>
      <c r="BC35" s="601" t="s">
        <v>40</v>
      </c>
      <c r="BD35" s="694" t="s">
        <v>40</v>
      </c>
      <c r="BE35" s="608" t="s">
        <v>23</v>
      </c>
      <c r="BF35" s="608" t="s">
        <v>23</v>
      </c>
    </row>
    <row r="36" spans="2:58" s="548" customFormat="1" ht="9">
      <c r="B36" s="695">
        <v>1</v>
      </c>
      <c r="C36" s="696">
        <f aca="true" t="shared" si="0" ref="C36:C46">B36*V36*$H36/1000</f>
        <v>0.875</v>
      </c>
      <c r="D36" s="551"/>
      <c r="E36" s="697" t="s">
        <v>156</v>
      </c>
      <c r="F36" s="698" t="s">
        <v>157</v>
      </c>
      <c r="G36" s="699" t="s">
        <v>158</v>
      </c>
      <c r="H36" s="699">
        <v>35</v>
      </c>
      <c r="I36" s="700"/>
      <c r="J36" s="701">
        <v>10.3</v>
      </c>
      <c r="K36" s="701">
        <v>17.7</v>
      </c>
      <c r="L36" s="702">
        <v>0.3</v>
      </c>
      <c r="M36" s="703"/>
      <c r="N36" s="703"/>
      <c r="O36" s="704" t="str">
        <f aca="true" t="shared" si="1" ref="O36:O46">IF(M36&lt;1.1*((N36*29000)/P36)^0.5,1,"NO")</f>
        <v>NO</v>
      </c>
      <c r="P36" s="568">
        <v>50</v>
      </c>
      <c r="Q36" s="561">
        <v>1.5</v>
      </c>
      <c r="R36" s="568">
        <v>4</v>
      </c>
      <c r="S36" s="705">
        <v>4</v>
      </c>
      <c r="T36" s="568">
        <v>115</v>
      </c>
      <c r="U36" s="706">
        <v>270</v>
      </c>
      <c r="V36" s="701">
        <v>25</v>
      </c>
      <c r="W36" s="707">
        <f aca="true" t="shared" si="2" ref="W36:W46">MIN((V36/4)*12,U36)</f>
        <v>75</v>
      </c>
      <c r="X36" s="708">
        <f aca="true" t="shared" si="3" ref="X36:X46">J36*P36</f>
        <v>515</v>
      </c>
      <c r="Y36" s="709">
        <f aca="true" t="shared" si="4" ref="Y36:Y46">(J36*P36)/(0.85*R36*W36)</f>
        <v>2.019607843137255</v>
      </c>
      <c r="Z36" s="710">
        <f aca="true" t="shared" si="5" ref="Z36:Z46">(0.9*((J36*P36*(K36/2))+(0.85*R36*Y36*W36*(S36-(Y36/2)))))/12</f>
        <v>457.32757352941184</v>
      </c>
      <c r="AA36" s="711">
        <f aca="true" t="shared" si="6" ref="AA36:AA46">IF(I36="v",0.9,1)</f>
        <v>1</v>
      </c>
      <c r="AB36" s="712">
        <f aca="true" t="shared" si="7" ref="AB36:AB46">IF(O36="NO",AA36*0.6*P36*K36*L36,AA36*0.6*P36*K36*L36*O36)</f>
        <v>159.29999999999998</v>
      </c>
      <c r="AC36" s="565">
        <v>17.2</v>
      </c>
      <c r="AD36" s="713">
        <f aca="true" t="shared" si="8" ref="AD36:AD46">(X36/AC36)*2</f>
        <v>59.88372093023256</v>
      </c>
      <c r="AE36" s="714">
        <v>30</v>
      </c>
      <c r="AF36" s="714">
        <v>1.6</v>
      </c>
      <c r="AG36" s="715">
        <v>29</v>
      </c>
      <c r="AH36" s="715">
        <v>0</v>
      </c>
      <c r="AI36" s="716">
        <f aca="true" t="shared" si="9" ref="AI36:AI46">((AE36+AG36+AF36)*(U36/12))+H36+AH36</f>
        <v>1398.5</v>
      </c>
      <c r="AJ36" s="706">
        <v>125</v>
      </c>
      <c r="AK36" s="707">
        <f aca="true" t="shared" si="10" ref="AK36:AK46">IF(0.25+(15/($E$6*V36*(U36/12))^0.5)&gt;0.5,IF(0.25+(15/($E$6*V36*(U36/12))^0.5)&gt;1,1,0.25+(15/($E$6*V36*(U36/12))^0.5)),0.5)</f>
        <v>0.697213595499958</v>
      </c>
      <c r="AL36" s="713">
        <f aca="true" t="shared" si="11" ref="AL36:AL46">(AJ36*AK36)*(U36/12)</f>
        <v>1960.9132373436316</v>
      </c>
      <c r="AM36" s="713">
        <f aca="true" t="shared" si="12" ref="AM36:AM46">(1.2*AI36)+(1.6*AL36)</f>
        <v>4815.661179749811</v>
      </c>
      <c r="AN36" s="713">
        <f aca="true" t="shared" si="13" ref="AN36:AN46">1.4*AI36</f>
        <v>1957.8999999999999</v>
      </c>
      <c r="AO36" s="707">
        <f aca="true" t="shared" si="14" ref="AO36:AO46">MAX((AN36*V36*V36)/8000,(AM36*V36*V36)/8000)</f>
        <v>376.223529667954</v>
      </c>
      <c r="AP36" s="717">
        <f aca="true" t="shared" si="15" ref="AP36:AP46">MAX(AN36*V36/2000,AM36*V36/2000)</f>
        <v>60.195764746872634</v>
      </c>
      <c r="AQ36" s="718" t="str">
        <f aca="true" t="shared" si="16" ref="AQ36:AQ46">IF(AND(Z36&gt;AO36,AB36&gt;AP36),"OK","NG")</f>
        <v>OK</v>
      </c>
      <c r="AR36" s="719">
        <f aca="true" t="shared" si="17" ref="AR36:AR46">((AF36+AG36)*(U36/12))+H36</f>
        <v>723.5</v>
      </c>
      <c r="AS36" s="720">
        <f aca="true" t="shared" si="18" ref="AS36:AS46">AR36/12</f>
        <v>60.291666666666664</v>
      </c>
      <c r="AT36" s="713">
        <f aca="true" t="shared" si="19" ref="AT36:AT46">AJ36*(U36/12)</f>
        <v>2812.5</v>
      </c>
      <c r="AU36" s="713">
        <f aca="true" t="shared" si="20" ref="AU36:AU46">AT36/12</f>
        <v>234.375</v>
      </c>
      <c r="AV36" s="715">
        <v>510</v>
      </c>
      <c r="AW36" s="721">
        <f aca="true" t="shared" si="21" ref="AW36:AW46">(AR36*V36*V36)/8000</f>
        <v>56.5234375</v>
      </c>
      <c r="AX36" s="695"/>
      <c r="AY36" s="722">
        <v>0</v>
      </c>
      <c r="AZ36" s="723">
        <f aca="true" t="shared" si="22" ref="AZ36:AZ46">S36-Y36/2</f>
        <v>2.9901960784313726</v>
      </c>
      <c r="BA36" s="724">
        <v>1230</v>
      </c>
      <c r="BB36" s="725">
        <f aca="true" t="shared" si="23" ref="BB36:BB46">(5*(AS36)*((V36*12)^4))/(384*29000000*AV36)</f>
        <v>0.4299450114097363</v>
      </c>
      <c r="BC36" s="721">
        <f aca="true" t="shared" si="24" ref="BC36:BC46">(5*(AU36)*((V36*12)^4))/(384*29000000*BA36)</f>
        <v>0.6929979893818334</v>
      </c>
      <c r="BD36" s="710">
        <f aca="true" t="shared" si="25" ref="BD36:BD46">(V36/360)*12</f>
        <v>0.8333333333333334</v>
      </c>
      <c r="BE36" s="718" t="str">
        <f aca="true" t="shared" si="26" ref="BE36:BE46">IF(BB36&gt;BD36,"NG","OK")</f>
        <v>OK</v>
      </c>
      <c r="BF36" s="718" t="str">
        <f aca="true" t="shared" si="27" ref="BF36:BF46">IF(BC36&gt;BD36,"NG","OK")</f>
        <v>OK</v>
      </c>
    </row>
    <row r="37" spans="2:58" s="548" customFormat="1" ht="9">
      <c r="B37" s="726">
        <v>1</v>
      </c>
      <c r="C37" s="727">
        <f t="shared" si="0"/>
        <v>1.1</v>
      </c>
      <c r="D37" s="551"/>
      <c r="E37" s="728" t="s">
        <v>157</v>
      </c>
      <c r="F37" s="582" t="s">
        <v>159</v>
      </c>
      <c r="G37" s="699" t="s">
        <v>158</v>
      </c>
      <c r="H37" s="699">
        <v>40</v>
      </c>
      <c r="I37" s="729"/>
      <c r="J37" s="701">
        <v>11.8</v>
      </c>
      <c r="K37" s="701">
        <v>17.9</v>
      </c>
      <c r="L37" s="702">
        <v>0.315</v>
      </c>
      <c r="M37" s="730"/>
      <c r="N37" s="730"/>
      <c r="O37" s="731" t="str">
        <f t="shared" si="1"/>
        <v>NO</v>
      </c>
      <c r="P37" s="586">
        <v>50</v>
      </c>
      <c r="Q37" s="732">
        <v>1.5</v>
      </c>
      <c r="R37" s="586">
        <v>4</v>
      </c>
      <c r="S37" s="733">
        <v>4</v>
      </c>
      <c r="T37" s="586">
        <v>115</v>
      </c>
      <c r="U37" s="734">
        <v>282</v>
      </c>
      <c r="V37" s="735">
        <v>27.5</v>
      </c>
      <c r="W37" s="736">
        <f t="shared" si="2"/>
        <v>82.5</v>
      </c>
      <c r="X37" s="737">
        <f t="shared" si="3"/>
        <v>590</v>
      </c>
      <c r="Y37" s="738">
        <f t="shared" si="4"/>
        <v>2.1033868092691623</v>
      </c>
      <c r="Z37" s="739">
        <f t="shared" si="5"/>
        <v>526.5000668449198</v>
      </c>
      <c r="AA37" s="740">
        <f t="shared" si="6"/>
        <v>1</v>
      </c>
      <c r="AB37" s="741">
        <f t="shared" si="7"/>
        <v>169.155</v>
      </c>
      <c r="AC37" s="584">
        <v>17.2</v>
      </c>
      <c r="AD37" s="742">
        <f t="shared" si="8"/>
        <v>68.6046511627907</v>
      </c>
      <c r="AE37" s="743">
        <v>30</v>
      </c>
      <c r="AF37" s="743">
        <v>1.6</v>
      </c>
      <c r="AG37" s="706">
        <v>29</v>
      </c>
      <c r="AH37" s="744">
        <v>0</v>
      </c>
      <c r="AI37" s="745">
        <f t="shared" si="9"/>
        <v>1464.1000000000001</v>
      </c>
      <c r="AJ37" s="746">
        <v>125</v>
      </c>
      <c r="AK37" s="736">
        <f t="shared" si="10"/>
        <v>0.6672304374216065</v>
      </c>
      <c r="AL37" s="742">
        <f t="shared" si="11"/>
        <v>1959.9894099259689</v>
      </c>
      <c r="AM37" s="742">
        <f t="shared" si="12"/>
        <v>4892.90305588155</v>
      </c>
      <c r="AN37" s="742">
        <f t="shared" si="13"/>
        <v>2049.7400000000002</v>
      </c>
      <c r="AO37" s="747">
        <f t="shared" si="14"/>
        <v>462.5322420013028</v>
      </c>
      <c r="AP37" s="717">
        <f t="shared" si="15"/>
        <v>67.27741701837131</v>
      </c>
      <c r="AQ37" s="748" t="str">
        <f t="shared" si="16"/>
        <v>OK</v>
      </c>
      <c r="AR37" s="749">
        <f t="shared" si="17"/>
        <v>759.1</v>
      </c>
      <c r="AS37" s="750">
        <f t="shared" si="18"/>
        <v>63.25833333333333</v>
      </c>
      <c r="AT37" s="751">
        <f t="shared" si="19"/>
        <v>2937.5</v>
      </c>
      <c r="AU37" s="751">
        <f t="shared" si="20"/>
        <v>244.79166666666666</v>
      </c>
      <c r="AV37" s="746">
        <v>612</v>
      </c>
      <c r="AW37" s="752">
        <f t="shared" si="21"/>
        <v>71.758671875</v>
      </c>
      <c r="AX37" s="726"/>
      <c r="AY37" s="753">
        <v>0</v>
      </c>
      <c r="AZ37" s="754">
        <f t="shared" si="22"/>
        <v>2.948306595365419</v>
      </c>
      <c r="BA37" s="755">
        <v>1412</v>
      </c>
      <c r="BB37" s="756">
        <f t="shared" si="23"/>
        <v>0.5503802799743281</v>
      </c>
      <c r="BC37" s="752">
        <f t="shared" si="24"/>
        <v>0.9231206669033744</v>
      </c>
      <c r="BD37" s="757">
        <f t="shared" si="25"/>
        <v>0.9166666666666667</v>
      </c>
      <c r="BE37" s="748" t="str">
        <f t="shared" si="26"/>
        <v>OK</v>
      </c>
      <c r="BF37" s="748" t="str">
        <f t="shared" si="27"/>
        <v>NG</v>
      </c>
    </row>
    <row r="38" spans="1:58" s="548" customFormat="1" ht="9">
      <c r="A38" s="551"/>
      <c r="B38" s="726">
        <v>1</v>
      </c>
      <c r="C38" s="727">
        <f t="shared" si="0"/>
        <v>1.1</v>
      </c>
      <c r="D38" s="551"/>
      <c r="E38" s="758" t="s">
        <v>159</v>
      </c>
      <c r="F38" s="759" t="s">
        <v>160</v>
      </c>
      <c r="G38" s="699" t="s">
        <v>158</v>
      </c>
      <c r="H38" s="760">
        <v>40</v>
      </c>
      <c r="I38" s="729"/>
      <c r="J38" s="735">
        <v>11.8</v>
      </c>
      <c r="K38" s="735">
        <v>17.9</v>
      </c>
      <c r="L38" s="730">
        <v>0.315</v>
      </c>
      <c r="M38" s="730"/>
      <c r="N38" s="730"/>
      <c r="O38" s="761" t="str">
        <f t="shared" si="1"/>
        <v>NO</v>
      </c>
      <c r="P38" s="762">
        <v>50</v>
      </c>
      <c r="Q38" s="763">
        <v>1.5</v>
      </c>
      <c r="R38" s="762">
        <v>4</v>
      </c>
      <c r="S38" s="735">
        <v>4</v>
      </c>
      <c r="T38" s="762">
        <v>115</v>
      </c>
      <c r="U38" s="746">
        <v>282</v>
      </c>
      <c r="V38" s="735">
        <v>27.5</v>
      </c>
      <c r="W38" s="747">
        <f t="shared" si="2"/>
        <v>82.5</v>
      </c>
      <c r="X38" s="764">
        <f t="shared" si="3"/>
        <v>590</v>
      </c>
      <c r="Y38" s="765">
        <f t="shared" si="4"/>
        <v>2.1033868092691623</v>
      </c>
      <c r="Z38" s="766">
        <f t="shared" si="5"/>
        <v>526.5000668449198</v>
      </c>
      <c r="AA38" s="767">
        <f t="shared" si="6"/>
        <v>1</v>
      </c>
      <c r="AB38" s="717">
        <f t="shared" si="7"/>
        <v>169.155</v>
      </c>
      <c r="AC38" s="763">
        <v>17.2</v>
      </c>
      <c r="AD38" s="751">
        <f t="shared" si="8"/>
        <v>68.6046511627907</v>
      </c>
      <c r="AE38" s="762">
        <v>30</v>
      </c>
      <c r="AF38" s="762">
        <v>1.6</v>
      </c>
      <c r="AG38" s="746">
        <v>29</v>
      </c>
      <c r="AH38" s="746">
        <v>0</v>
      </c>
      <c r="AI38" s="768">
        <f t="shared" si="9"/>
        <v>1464.1000000000001</v>
      </c>
      <c r="AJ38" s="744">
        <v>125</v>
      </c>
      <c r="AK38" s="736">
        <f t="shared" si="10"/>
        <v>0.6672304374216065</v>
      </c>
      <c r="AL38" s="742">
        <f t="shared" si="11"/>
        <v>1959.9894099259689</v>
      </c>
      <c r="AM38" s="742">
        <f t="shared" si="12"/>
        <v>4892.90305588155</v>
      </c>
      <c r="AN38" s="742">
        <f t="shared" si="13"/>
        <v>2049.7400000000002</v>
      </c>
      <c r="AO38" s="747">
        <f t="shared" si="14"/>
        <v>462.5322420013028</v>
      </c>
      <c r="AP38" s="741">
        <f t="shared" si="15"/>
        <v>67.27741701837131</v>
      </c>
      <c r="AQ38" s="748" t="str">
        <f t="shared" si="16"/>
        <v>OK</v>
      </c>
      <c r="AR38" s="749">
        <f t="shared" si="17"/>
        <v>759.1</v>
      </c>
      <c r="AS38" s="750">
        <f t="shared" si="18"/>
        <v>63.25833333333333</v>
      </c>
      <c r="AT38" s="751">
        <f t="shared" si="19"/>
        <v>2937.5</v>
      </c>
      <c r="AU38" s="751">
        <f t="shared" si="20"/>
        <v>244.79166666666666</v>
      </c>
      <c r="AV38" s="746">
        <v>612</v>
      </c>
      <c r="AW38" s="752">
        <f t="shared" si="21"/>
        <v>71.758671875</v>
      </c>
      <c r="AX38" s="726"/>
      <c r="AY38" s="753">
        <v>0</v>
      </c>
      <c r="AZ38" s="754">
        <f t="shared" si="22"/>
        <v>2.948306595365419</v>
      </c>
      <c r="BA38" s="755">
        <v>1450</v>
      </c>
      <c r="BB38" s="756">
        <f t="shared" si="23"/>
        <v>0.5503802799743281</v>
      </c>
      <c r="BC38" s="752">
        <f t="shared" si="24"/>
        <v>0.8989285390810791</v>
      </c>
      <c r="BD38" s="757">
        <f t="shared" si="25"/>
        <v>0.9166666666666667</v>
      </c>
      <c r="BE38" s="748" t="str">
        <f t="shared" si="26"/>
        <v>OK</v>
      </c>
      <c r="BF38" s="748" t="str">
        <f t="shared" si="27"/>
        <v>OK</v>
      </c>
    </row>
    <row r="39" spans="1:58" s="548" customFormat="1" ht="9.75" thickBot="1">
      <c r="A39" s="551"/>
      <c r="B39" s="769">
        <v>1</v>
      </c>
      <c r="C39" s="770">
        <f t="shared" si="0"/>
        <v>0.75</v>
      </c>
      <c r="D39" s="551"/>
      <c r="E39" s="771" t="s">
        <v>161</v>
      </c>
      <c r="F39" s="772" t="s">
        <v>162</v>
      </c>
      <c r="G39" s="773" t="s">
        <v>163</v>
      </c>
      <c r="H39" s="774">
        <v>30</v>
      </c>
      <c r="I39" s="775"/>
      <c r="J39" s="776">
        <v>8.85</v>
      </c>
      <c r="K39" s="776">
        <v>13.8</v>
      </c>
      <c r="L39" s="777">
        <v>0.27</v>
      </c>
      <c r="M39" s="777"/>
      <c r="N39" s="777"/>
      <c r="O39" s="778" t="str">
        <f t="shared" si="1"/>
        <v>NO</v>
      </c>
      <c r="P39" s="779">
        <v>50</v>
      </c>
      <c r="Q39" s="780">
        <v>1.5</v>
      </c>
      <c r="R39" s="779">
        <v>4</v>
      </c>
      <c r="S39" s="776">
        <v>4</v>
      </c>
      <c r="T39" s="779">
        <v>115</v>
      </c>
      <c r="U39" s="781">
        <v>270</v>
      </c>
      <c r="V39" s="776">
        <v>25</v>
      </c>
      <c r="W39" s="782">
        <f t="shared" si="2"/>
        <v>75</v>
      </c>
      <c r="X39" s="783">
        <f t="shared" si="3"/>
        <v>442.5</v>
      </c>
      <c r="Y39" s="784">
        <f t="shared" si="4"/>
        <v>1.7352941176470589</v>
      </c>
      <c r="Z39" s="785">
        <f t="shared" si="5"/>
        <v>332.9487132352941</v>
      </c>
      <c r="AA39" s="786">
        <f t="shared" si="6"/>
        <v>1</v>
      </c>
      <c r="AB39" s="787">
        <f t="shared" si="7"/>
        <v>111.78</v>
      </c>
      <c r="AC39" s="780">
        <v>17.2</v>
      </c>
      <c r="AD39" s="788">
        <f t="shared" si="8"/>
        <v>51.45348837209303</v>
      </c>
      <c r="AE39" s="779">
        <v>30</v>
      </c>
      <c r="AF39" s="605">
        <v>1.6</v>
      </c>
      <c r="AG39" s="789">
        <v>29</v>
      </c>
      <c r="AH39" s="790">
        <v>0</v>
      </c>
      <c r="AI39" s="791">
        <f t="shared" si="9"/>
        <v>1393.5</v>
      </c>
      <c r="AJ39" s="789">
        <v>80</v>
      </c>
      <c r="AK39" s="792">
        <f t="shared" si="10"/>
        <v>0.697213595499958</v>
      </c>
      <c r="AL39" s="793">
        <f t="shared" si="11"/>
        <v>1254.9844718999243</v>
      </c>
      <c r="AM39" s="793">
        <f t="shared" si="12"/>
        <v>3680.175155039879</v>
      </c>
      <c r="AN39" s="793">
        <f t="shared" si="13"/>
        <v>1950.8999999999999</v>
      </c>
      <c r="AO39" s="792">
        <f t="shared" si="14"/>
        <v>287.51368398749054</v>
      </c>
      <c r="AP39" s="787">
        <f t="shared" si="15"/>
        <v>46.00218943799849</v>
      </c>
      <c r="AQ39" s="794" t="str">
        <f t="shared" si="16"/>
        <v>OK</v>
      </c>
      <c r="AR39" s="795">
        <f t="shared" si="17"/>
        <v>718.5</v>
      </c>
      <c r="AS39" s="796">
        <f t="shared" si="18"/>
        <v>59.875</v>
      </c>
      <c r="AT39" s="793">
        <f t="shared" si="19"/>
        <v>1800</v>
      </c>
      <c r="AU39" s="793">
        <f t="shared" si="20"/>
        <v>150</v>
      </c>
      <c r="AV39" s="790">
        <v>291</v>
      </c>
      <c r="AW39" s="797">
        <f t="shared" si="21"/>
        <v>56.1328125</v>
      </c>
      <c r="AX39" s="769"/>
      <c r="AY39" s="798">
        <v>0</v>
      </c>
      <c r="AZ39" s="799">
        <f t="shared" si="22"/>
        <v>3.1323529411764706</v>
      </c>
      <c r="BA39" s="800">
        <v>738</v>
      </c>
      <c r="BB39" s="801">
        <f t="shared" si="23"/>
        <v>0.748304468094561</v>
      </c>
      <c r="BC39" s="797">
        <f t="shared" si="24"/>
        <v>0.7391978553406223</v>
      </c>
      <c r="BD39" s="785">
        <f t="shared" si="25"/>
        <v>0.8333333333333334</v>
      </c>
      <c r="BE39" s="802" t="str">
        <f t="shared" si="26"/>
        <v>OK</v>
      </c>
      <c r="BF39" s="802" t="str">
        <f t="shared" si="27"/>
        <v>OK</v>
      </c>
    </row>
    <row r="40" spans="2:58" s="548" customFormat="1" ht="9">
      <c r="B40" s="803">
        <v>1</v>
      </c>
      <c r="C40" s="696">
        <f t="shared" si="0"/>
        <v>0.9625</v>
      </c>
      <c r="D40" s="551"/>
      <c r="E40" s="697" t="s">
        <v>166</v>
      </c>
      <c r="F40" s="698" t="s">
        <v>167</v>
      </c>
      <c r="G40" s="699" t="s">
        <v>158</v>
      </c>
      <c r="H40" s="804">
        <v>35</v>
      </c>
      <c r="I40" s="805"/>
      <c r="J40" s="701">
        <v>10.3</v>
      </c>
      <c r="K40" s="701">
        <v>17.7</v>
      </c>
      <c r="L40" s="702">
        <v>0.3</v>
      </c>
      <c r="M40" s="701"/>
      <c r="N40" s="806"/>
      <c r="O40" s="807" t="str">
        <f t="shared" si="1"/>
        <v>NO</v>
      </c>
      <c r="P40" s="743">
        <v>50</v>
      </c>
      <c r="Q40" s="584">
        <v>1.5</v>
      </c>
      <c r="R40" s="743">
        <v>4</v>
      </c>
      <c r="S40" s="701">
        <v>4</v>
      </c>
      <c r="T40" s="743">
        <v>115</v>
      </c>
      <c r="U40" s="706">
        <v>240</v>
      </c>
      <c r="V40" s="701">
        <v>27.5</v>
      </c>
      <c r="W40" s="747">
        <f t="shared" si="2"/>
        <v>82.5</v>
      </c>
      <c r="X40" s="764">
        <f t="shared" si="3"/>
        <v>515</v>
      </c>
      <c r="Y40" s="765">
        <f t="shared" si="4"/>
        <v>1.8360071301247771</v>
      </c>
      <c r="Z40" s="710">
        <f t="shared" si="5"/>
        <v>460.87336229946527</v>
      </c>
      <c r="AA40" s="711">
        <f t="shared" si="6"/>
        <v>1</v>
      </c>
      <c r="AB40" s="712">
        <f t="shared" si="7"/>
        <v>159.29999999999998</v>
      </c>
      <c r="AC40" s="565">
        <v>17.2</v>
      </c>
      <c r="AD40" s="742">
        <f t="shared" si="8"/>
        <v>59.88372093023256</v>
      </c>
      <c r="AE40" s="743">
        <v>30</v>
      </c>
      <c r="AF40" s="743">
        <v>1.6</v>
      </c>
      <c r="AG40" s="706">
        <v>29</v>
      </c>
      <c r="AH40" s="715">
        <v>0</v>
      </c>
      <c r="AI40" s="716">
        <f t="shared" si="9"/>
        <v>1247</v>
      </c>
      <c r="AJ40" s="746">
        <v>102.5</v>
      </c>
      <c r="AK40" s="707">
        <f t="shared" si="10"/>
        <v>0.7022670168666454</v>
      </c>
      <c r="AL40" s="742">
        <f t="shared" si="11"/>
        <v>1439.647384576623</v>
      </c>
      <c r="AM40" s="742">
        <f t="shared" si="12"/>
        <v>3799.8358153225963</v>
      </c>
      <c r="AN40" s="742">
        <f t="shared" si="13"/>
        <v>1745.8</v>
      </c>
      <c r="AO40" s="747">
        <f t="shared" si="14"/>
        <v>359.20322941721423</v>
      </c>
      <c r="AP40" s="741">
        <f t="shared" si="15"/>
        <v>52.2477424606857</v>
      </c>
      <c r="AQ40" s="718" t="str">
        <f t="shared" si="16"/>
        <v>OK</v>
      </c>
      <c r="AR40" s="719">
        <f t="shared" si="17"/>
        <v>647</v>
      </c>
      <c r="AS40" s="720">
        <f t="shared" si="18"/>
        <v>53.916666666666664</v>
      </c>
      <c r="AT40" s="713">
        <f t="shared" si="19"/>
        <v>2050</v>
      </c>
      <c r="AU40" s="713">
        <f t="shared" si="20"/>
        <v>170.83333333333334</v>
      </c>
      <c r="AV40" s="715">
        <v>510</v>
      </c>
      <c r="AW40" s="721">
        <f t="shared" si="21"/>
        <v>61.16171875</v>
      </c>
      <c r="AX40" s="695"/>
      <c r="AY40" s="722">
        <v>0</v>
      </c>
      <c r="AZ40" s="723">
        <f t="shared" si="22"/>
        <v>3.0819964349376114</v>
      </c>
      <c r="BA40" s="724">
        <v>1230</v>
      </c>
      <c r="BB40" s="725">
        <f t="shared" si="23"/>
        <v>0.5629235270347364</v>
      </c>
      <c r="BC40" s="721">
        <f t="shared" si="24"/>
        <v>0.7395440463362069</v>
      </c>
      <c r="BD40" s="710">
        <f t="shared" si="25"/>
        <v>0.9166666666666667</v>
      </c>
      <c r="BE40" s="718" t="str">
        <f t="shared" si="26"/>
        <v>OK</v>
      </c>
      <c r="BF40" s="718" t="str">
        <f t="shared" si="27"/>
        <v>OK</v>
      </c>
    </row>
    <row r="41" spans="2:58" s="548" customFormat="1" ht="9.75" thickBot="1">
      <c r="B41" s="769">
        <v>1</v>
      </c>
      <c r="C41" s="770">
        <f t="shared" si="0"/>
        <v>0.8525</v>
      </c>
      <c r="D41" s="551"/>
      <c r="E41" s="808" t="s">
        <v>168</v>
      </c>
      <c r="F41" s="595" t="s">
        <v>169</v>
      </c>
      <c r="G41" s="808" t="s">
        <v>170</v>
      </c>
      <c r="H41" s="775">
        <v>31</v>
      </c>
      <c r="I41" s="775"/>
      <c r="J41" s="809">
        <v>9.13</v>
      </c>
      <c r="K41" s="809">
        <v>15.9</v>
      </c>
      <c r="L41" s="810">
        <v>0.275</v>
      </c>
      <c r="M41" s="776"/>
      <c r="N41" s="811"/>
      <c r="O41" s="778" t="str">
        <f t="shared" si="1"/>
        <v>NO</v>
      </c>
      <c r="P41" s="779">
        <v>50</v>
      </c>
      <c r="Q41" s="780">
        <v>1.5</v>
      </c>
      <c r="R41" s="779">
        <v>4</v>
      </c>
      <c r="S41" s="776">
        <v>4</v>
      </c>
      <c r="T41" s="779">
        <v>115</v>
      </c>
      <c r="U41" s="781">
        <v>240</v>
      </c>
      <c r="V41" s="776">
        <v>27.5</v>
      </c>
      <c r="W41" s="782">
        <f t="shared" si="2"/>
        <v>82.5</v>
      </c>
      <c r="X41" s="783">
        <f t="shared" si="3"/>
        <v>456.50000000000006</v>
      </c>
      <c r="Y41" s="784">
        <f t="shared" si="4"/>
        <v>1.627450980392157</v>
      </c>
      <c r="Z41" s="785">
        <f t="shared" si="5"/>
        <v>381.27819852941184</v>
      </c>
      <c r="AA41" s="812">
        <f t="shared" si="6"/>
        <v>1</v>
      </c>
      <c r="AB41" s="813">
        <f t="shared" si="7"/>
        <v>131.175</v>
      </c>
      <c r="AC41" s="666">
        <v>17.2</v>
      </c>
      <c r="AD41" s="793">
        <f t="shared" si="8"/>
        <v>53.08139534883722</v>
      </c>
      <c r="AE41" s="605">
        <v>30</v>
      </c>
      <c r="AF41" s="605">
        <v>1.6</v>
      </c>
      <c r="AG41" s="789">
        <v>29</v>
      </c>
      <c r="AH41" s="789">
        <v>0</v>
      </c>
      <c r="AI41" s="791">
        <f t="shared" si="9"/>
        <v>1243</v>
      </c>
      <c r="AJ41" s="789">
        <v>80</v>
      </c>
      <c r="AK41" s="747">
        <f t="shared" si="10"/>
        <v>0.7022670168666454</v>
      </c>
      <c r="AL41" s="793">
        <f t="shared" si="11"/>
        <v>1123.6272269866326</v>
      </c>
      <c r="AM41" s="793">
        <f t="shared" si="12"/>
        <v>3289.4035631786123</v>
      </c>
      <c r="AN41" s="793">
        <f t="shared" si="13"/>
        <v>1740.1999999999998</v>
      </c>
      <c r="AO41" s="792">
        <f t="shared" si="14"/>
        <v>310.9514305817282</v>
      </c>
      <c r="AP41" s="787">
        <f t="shared" si="15"/>
        <v>45.22929899370592</v>
      </c>
      <c r="AQ41" s="794" t="str">
        <f t="shared" si="16"/>
        <v>OK</v>
      </c>
      <c r="AR41" s="795">
        <f t="shared" si="17"/>
        <v>643</v>
      </c>
      <c r="AS41" s="796">
        <f t="shared" si="18"/>
        <v>53.583333333333336</v>
      </c>
      <c r="AT41" s="793">
        <f t="shared" si="19"/>
        <v>1600</v>
      </c>
      <c r="AU41" s="793">
        <f t="shared" si="20"/>
        <v>133.33333333333334</v>
      </c>
      <c r="AV41" s="789">
        <v>375</v>
      </c>
      <c r="AW41" s="814">
        <f t="shared" si="21"/>
        <v>60.78359375</v>
      </c>
      <c r="AX41" s="592"/>
      <c r="AY41" s="815">
        <v>0</v>
      </c>
      <c r="AZ41" s="816">
        <f t="shared" si="22"/>
        <v>3.1862745098039214</v>
      </c>
      <c r="BA41" s="817">
        <v>940</v>
      </c>
      <c r="BB41" s="818">
        <f t="shared" si="23"/>
        <v>0.7608429148706897</v>
      </c>
      <c r="BC41" s="814">
        <f t="shared" si="24"/>
        <v>0.755279026045488</v>
      </c>
      <c r="BD41" s="819">
        <f t="shared" si="25"/>
        <v>0.9166666666666667</v>
      </c>
      <c r="BE41" s="820" t="str">
        <f t="shared" si="26"/>
        <v>OK</v>
      </c>
      <c r="BF41" s="820" t="str">
        <f t="shared" si="27"/>
        <v>OK</v>
      </c>
    </row>
    <row r="42" spans="2:58" s="548" customFormat="1" ht="9.75" thickBot="1">
      <c r="B42" s="636">
        <v>2</v>
      </c>
      <c r="C42" s="696">
        <f t="shared" si="0"/>
        <v>2.1</v>
      </c>
      <c r="D42" s="551"/>
      <c r="E42" s="808" t="s">
        <v>263</v>
      </c>
      <c r="F42" s="772" t="s">
        <v>264</v>
      </c>
      <c r="G42" s="594" t="s">
        <v>158</v>
      </c>
      <c r="H42" s="612">
        <v>35</v>
      </c>
      <c r="I42" s="821"/>
      <c r="J42" s="822">
        <v>10.3</v>
      </c>
      <c r="K42" s="822">
        <v>17.7</v>
      </c>
      <c r="L42" s="823">
        <v>0.3</v>
      </c>
      <c r="M42" s="822"/>
      <c r="N42" s="824"/>
      <c r="O42" s="825" t="str">
        <f t="shared" si="1"/>
        <v>NO</v>
      </c>
      <c r="P42" s="605">
        <v>50</v>
      </c>
      <c r="Q42" s="666">
        <v>1.5</v>
      </c>
      <c r="R42" s="605">
        <v>4</v>
      </c>
      <c r="S42" s="822">
        <v>4</v>
      </c>
      <c r="T42" s="605">
        <v>115</v>
      </c>
      <c r="U42" s="789">
        <v>282</v>
      </c>
      <c r="V42" s="822">
        <v>30</v>
      </c>
      <c r="W42" s="792">
        <f t="shared" si="2"/>
        <v>90</v>
      </c>
      <c r="X42" s="826">
        <f t="shared" si="3"/>
        <v>515</v>
      </c>
      <c r="Y42" s="827">
        <f t="shared" si="4"/>
        <v>1.6830065359477124</v>
      </c>
      <c r="Z42" s="819">
        <f t="shared" si="5"/>
        <v>463.82818627450985</v>
      </c>
      <c r="AA42" s="812">
        <f t="shared" si="6"/>
        <v>1</v>
      </c>
      <c r="AB42" s="813">
        <f t="shared" si="7"/>
        <v>159.29999999999998</v>
      </c>
      <c r="AC42" s="666">
        <v>17.2</v>
      </c>
      <c r="AD42" s="793">
        <f t="shared" si="8"/>
        <v>59.88372093023256</v>
      </c>
      <c r="AE42" s="605">
        <v>30</v>
      </c>
      <c r="AF42" s="605">
        <v>1.6</v>
      </c>
      <c r="AG42" s="789">
        <v>29</v>
      </c>
      <c r="AH42" s="789">
        <v>0</v>
      </c>
      <c r="AI42" s="791">
        <f t="shared" si="9"/>
        <v>1459.1000000000001</v>
      </c>
      <c r="AJ42" s="789">
        <v>80</v>
      </c>
      <c r="AK42" s="707">
        <f t="shared" si="10"/>
        <v>0.6494677309684806</v>
      </c>
      <c r="AL42" s="788">
        <f t="shared" si="11"/>
        <v>1220.9993342207438</v>
      </c>
      <c r="AM42" s="788">
        <f t="shared" si="12"/>
        <v>3704.5189347531905</v>
      </c>
      <c r="AN42" s="788">
        <f t="shared" si="13"/>
        <v>2042.74</v>
      </c>
      <c r="AO42" s="782">
        <f t="shared" si="14"/>
        <v>416.7583801597339</v>
      </c>
      <c r="AP42" s="787">
        <f t="shared" si="15"/>
        <v>55.567784021297854</v>
      </c>
      <c r="AQ42" s="802" t="str">
        <f t="shared" si="16"/>
        <v>OK</v>
      </c>
      <c r="AR42" s="795">
        <f t="shared" si="17"/>
        <v>754.1</v>
      </c>
      <c r="AS42" s="796">
        <f t="shared" si="18"/>
        <v>62.84166666666667</v>
      </c>
      <c r="AT42" s="793">
        <f t="shared" si="19"/>
        <v>1880</v>
      </c>
      <c r="AU42" s="793">
        <f t="shared" si="20"/>
        <v>156.66666666666666</v>
      </c>
      <c r="AV42" s="789">
        <v>510</v>
      </c>
      <c r="AW42" s="814">
        <f t="shared" si="21"/>
        <v>84.83625</v>
      </c>
      <c r="AX42" s="592"/>
      <c r="AY42" s="815">
        <v>0</v>
      </c>
      <c r="AZ42" s="816">
        <f t="shared" si="22"/>
        <v>3.1584967320261437</v>
      </c>
      <c r="BA42" s="817">
        <v>1230</v>
      </c>
      <c r="BB42" s="818">
        <f t="shared" si="23"/>
        <v>0.9292408722109535</v>
      </c>
      <c r="BC42" s="814">
        <f t="shared" si="24"/>
        <v>0.9605550883095036</v>
      </c>
      <c r="BD42" s="819">
        <f t="shared" si="25"/>
        <v>1</v>
      </c>
      <c r="BE42" s="820" t="str">
        <f t="shared" si="26"/>
        <v>OK</v>
      </c>
      <c r="BF42" s="820" t="str">
        <f t="shared" si="27"/>
        <v>OK</v>
      </c>
    </row>
    <row r="43" spans="2:58" s="548" customFormat="1" ht="9">
      <c r="B43" s="803">
        <v>1</v>
      </c>
      <c r="C43" s="696">
        <f t="shared" si="0"/>
        <v>0.75</v>
      </c>
      <c r="D43" s="551"/>
      <c r="E43" s="828" t="s">
        <v>174</v>
      </c>
      <c r="F43" s="829" t="s">
        <v>175</v>
      </c>
      <c r="G43" s="699" t="s">
        <v>163</v>
      </c>
      <c r="H43" s="830">
        <v>30</v>
      </c>
      <c r="I43" s="700"/>
      <c r="J43" s="831">
        <v>8.85</v>
      </c>
      <c r="K43" s="831">
        <v>13.8</v>
      </c>
      <c r="L43" s="703">
        <v>0.27</v>
      </c>
      <c r="M43" s="831"/>
      <c r="N43" s="832"/>
      <c r="O43" s="833" t="str">
        <f t="shared" si="1"/>
        <v>NO</v>
      </c>
      <c r="P43" s="714">
        <v>50</v>
      </c>
      <c r="Q43" s="565">
        <v>1.5</v>
      </c>
      <c r="R43" s="714">
        <v>4</v>
      </c>
      <c r="S43" s="831">
        <v>4</v>
      </c>
      <c r="T43" s="714">
        <v>115</v>
      </c>
      <c r="U43" s="744">
        <v>270</v>
      </c>
      <c r="V43" s="834">
        <v>25</v>
      </c>
      <c r="W43" s="707">
        <f t="shared" si="2"/>
        <v>75</v>
      </c>
      <c r="X43" s="708">
        <f t="shared" si="3"/>
        <v>442.5</v>
      </c>
      <c r="Y43" s="709">
        <f t="shared" si="4"/>
        <v>1.7352941176470589</v>
      </c>
      <c r="Z43" s="835">
        <f t="shared" si="5"/>
        <v>332.9487132352941</v>
      </c>
      <c r="AA43" s="836">
        <f t="shared" si="6"/>
        <v>1</v>
      </c>
      <c r="AB43" s="837">
        <f t="shared" si="7"/>
        <v>111.78</v>
      </c>
      <c r="AC43" s="561">
        <v>17.2</v>
      </c>
      <c r="AD43" s="838">
        <f t="shared" si="8"/>
        <v>51.45348837209303</v>
      </c>
      <c r="AE43" s="568">
        <v>30</v>
      </c>
      <c r="AF43" s="568">
        <v>1.6</v>
      </c>
      <c r="AG43" s="839">
        <v>29</v>
      </c>
      <c r="AH43" s="839">
        <v>0</v>
      </c>
      <c r="AI43" s="840">
        <f t="shared" si="9"/>
        <v>1393.5</v>
      </c>
      <c r="AJ43" s="715">
        <v>80</v>
      </c>
      <c r="AK43" s="707">
        <f t="shared" si="10"/>
        <v>0.697213595499958</v>
      </c>
      <c r="AL43" s="713">
        <f t="shared" si="11"/>
        <v>1254.9844718999243</v>
      </c>
      <c r="AM43" s="713">
        <f t="shared" si="12"/>
        <v>3680.175155039879</v>
      </c>
      <c r="AN43" s="713">
        <f t="shared" si="13"/>
        <v>1950.8999999999999</v>
      </c>
      <c r="AO43" s="707">
        <f t="shared" si="14"/>
        <v>287.51368398749054</v>
      </c>
      <c r="AP43" s="712">
        <f t="shared" si="15"/>
        <v>46.00218943799849</v>
      </c>
      <c r="AQ43" s="718" t="str">
        <f t="shared" si="16"/>
        <v>OK</v>
      </c>
      <c r="AR43" s="719">
        <f t="shared" si="17"/>
        <v>718.5</v>
      </c>
      <c r="AS43" s="720">
        <f t="shared" si="18"/>
        <v>59.875</v>
      </c>
      <c r="AT43" s="713">
        <f t="shared" si="19"/>
        <v>1800</v>
      </c>
      <c r="AU43" s="713">
        <f t="shared" si="20"/>
        <v>150</v>
      </c>
      <c r="AV43" s="715">
        <v>291</v>
      </c>
      <c r="AW43" s="721">
        <f t="shared" si="21"/>
        <v>56.1328125</v>
      </c>
      <c r="AX43" s="695"/>
      <c r="AY43" s="722">
        <v>0</v>
      </c>
      <c r="AZ43" s="723">
        <f t="shared" si="22"/>
        <v>3.1323529411764706</v>
      </c>
      <c r="BA43" s="724">
        <v>738</v>
      </c>
      <c r="BB43" s="725">
        <f t="shared" si="23"/>
        <v>0.748304468094561</v>
      </c>
      <c r="BC43" s="721">
        <f t="shared" si="24"/>
        <v>0.7391978553406223</v>
      </c>
      <c r="BD43" s="710">
        <f t="shared" si="25"/>
        <v>0.8333333333333334</v>
      </c>
      <c r="BE43" s="718" t="str">
        <f t="shared" si="26"/>
        <v>OK</v>
      </c>
      <c r="BF43" s="718" t="str">
        <f t="shared" si="27"/>
        <v>OK</v>
      </c>
    </row>
    <row r="44" spans="2:58" s="548" customFormat="1" ht="9">
      <c r="B44" s="726">
        <v>1</v>
      </c>
      <c r="C44" s="727">
        <f t="shared" si="0"/>
        <v>0.9625</v>
      </c>
      <c r="D44" s="551"/>
      <c r="E44" s="728" t="s">
        <v>175</v>
      </c>
      <c r="F44" s="841" t="s">
        <v>176</v>
      </c>
      <c r="G44" s="699" t="s">
        <v>158</v>
      </c>
      <c r="H44" s="699">
        <v>35</v>
      </c>
      <c r="I44" s="805"/>
      <c r="J44" s="701">
        <v>10.3</v>
      </c>
      <c r="K44" s="701">
        <v>17.7</v>
      </c>
      <c r="L44" s="702">
        <v>0.3</v>
      </c>
      <c r="M44" s="701"/>
      <c r="N44" s="806"/>
      <c r="O44" s="842" t="str">
        <f t="shared" si="1"/>
        <v>NO</v>
      </c>
      <c r="P44" s="589">
        <v>50</v>
      </c>
      <c r="Q44" s="580">
        <v>1.5</v>
      </c>
      <c r="R44" s="589">
        <v>4</v>
      </c>
      <c r="S44" s="834">
        <v>4</v>
      </c>
      <c r="T44" s="589">
        <v>115</v>
      </c>
      <c r="U44" s="746">
        <v>282</v>
      </c>
      <c r="V44" s="735">
        <v>27.5</v>
      </c>
      <c r="W44" s="736">
        <f t="shared" si="2"/>
        <v>82.5</v>
      </c>
      <c r="X44" s="843">
        <f t="shared" si="3"/>
        <v>515</v>
      </c>
      <c r="Y44" s="738">
        <f t="shared" si="4"/>
        <v>1.8360071301247771</v>
      </c>
      <c r="Z44" s="757">
        <f t="shared" si="5"/>
        <v>460.87336229946527</v>
      </c>
      <c r="AA44" s="767">
        <f t="shared" si="6"/>
        <v>1</v>
      </c>
      <c r="AB44" s="717">
        <f t="shared" si="7"/>
        <v>159.29999999999998</v>
      </c>
      <c r="AC44" s="763">
        <v>17.2</v>
      </c>
      <c r="AD44" s="751">
        <f t="shared" si="8"/>
        <v>59.88372093023256</v>
      </c>
      <c r="AE44" s="762">
        <v>30</v>
      </c>
      <c r="AF44" s="762">
        <v>1.6</v>
      </c>
      <c r="AG44" s="746">
        <v>29</v>
      </c>
      <c r="AH44" s="746">
        <v>0</v>
      </c>
      <c r="AI44" s="768">
        <f t="shared" si="9"/>
        <v>1459.1000000000001</v>
      </c>
      <c r="AJ44" s="746">
        <v>80</v>
      </c>
      <c r="AK44" s="736">
        <f t="shared" si="10"/>
        <v>0.6672304374216065</v>
      </c>
      <c r="AL44" s="751">
        <f t="shared" si="11"/>
        <v>1254.3932223526201</v>
      </c>
      <c r="AM44" s="751">
        <f t="shared" si="12"/>
        <v>3757.9491557641923</v>
      </c>
      <c r="AN44" s="751">
        <f t="shared" si="13"/>
        <v>2042.74</v>
      </c>
      <c r="AO44" s="736">
        <f t="shared" si="14"/>
        <v>355.2436311308338</v>
      </c>
      <c r="AP44" s="717">
        <f t="shared" si="15"/>
        <v>51.67180089175764</v>
      </c>
      <c r="AQ44" s="748" t="str">
        <f t="shared" si="16"/>
        <v>OK</v>
      </c>
      <c r="AR44" s="749">
        <f t="shared" si="17"/>
        <v>754.1</v>
      </c>
      <c r="AS44" s="750">
        <f t="shared" si="18"/>
        <v>62.84166666666667</v>
      </c>
      <c r="AT44" s="751">
        <f t="shared" si="19"/>
        <v>1880</v>
      </c>
      <c r="AU44" s="751">
        <f t="shared" si="20"/>
        <v>156.66666666666666</v>
      </c>
      <c r="AV44" s="746">
        <v>510</v>
      </c>
      <c r="AW44" s="752">
        <f t="shared" si="21"/>
        <v>71.286015625</v>
      </c>
      <c r="AX44" s="726"/>
      <c r="AY44" s="753">
        <v>0</v>
      </c>
      <c r="AZ44" s="754">
        <f t="shared" si="22"/>
        <v>3.0819964349376114</v>
      </c>
      <c r="BA44" s="755">
        <v>1230</v>
      </c>
      <c r="BB44" s="756">
        <f t="shared" si="23"/>
        <v>0.6561060768730984</v>
      </c>
      <c r="BC44" s="752">
        <f t="shared" si="24"/>
        <v>0.6782160034693019</v>
      </c>
      <c r="BD44" s="757">
        <f t="shared" si="25"/>
        <v>0.9166666666666667</v>
      </c>
      <c r="BE44" s="748" t="str">
        <f t="shared" si="26"/>
        <v>OK</v>
      </c>
      <c r="BF44" s="748" t="str">
        <f t="shared" si="27"/>
        <v>OK</v>
      </c>
    </row>
    <row r="45" spans="2:58" s="548" customFormat="1" ht="9">
      <c r="B45" s="726">
        <v>1</v>
      </c>
      <c r="C45" s="727">
        <f t="shared" si="0"/>
        <v>0.9625</v>
      </c>
      <c r="D45" s="551"/>
      <c r="E45" s="728" t="s">
        <v>176</v>
      </c>
      <c r="F45" s="841" t="s">
        <v>177</v>
      </c>
      <c r="G45" s="699" t="s">
        <v>158</v>
      </c>
      <c r="H45" s="699">
        <v>35</v>
      </c>
      <c r="I45" s="729"/>
      <c r="J45" s="701">
        <v>10.3</v>
      </c>
      <c r="K45" s="701">
        <v>17.7</v>
      </c>
      <c r="L45" s="702">
        <v>0.3</v>
      </c>
      <c r="M45" s="735"/>
      <c r="N45" s="844"/>
      <c r="O45" s="761" t="str">
        <f t="shared" si="1"/>
        <v>NO</v>
      </c>
      <c r="P45" s="762">
        <v>50</v>
      </c>
      <c r="Q45" s="763">
        <v>1.5</v>
      </c>
      <c r="R45" s="762">
        <v>4</v>
      </c>
      <c r="S45" s="735">
        <v>4</v>
      </c>
      <c r="T45" s="762">
        <v>115</v>
      </c>
      <c r="U45" s="746">
        <v>282</v>
      </c>
      <c r="V45" s="735">
        <v>27.5</v>
      </c>
      <c r="W45" s="736">
        <f t="shared" si="2"/>
        <v>82.5</v>
      </c>
      <c r="X45" s="843">
        <f t="shared" si="3"/>
        <v>515</v>
      </c>
      <c r="Y45" s="738">
        <f t="shared" si="4"/>
        <v>1.8360071301247771</v>
      </c>
      <c r="Z45" s="757">
        <f t="shared" si="5"/>
        <v>460.87336229946527</v>
      </c>
      <c r="AA45" s="767">
        <f t="shared" si="6"/>
        <v>1</v>
      </c>
      <c r="AB45" s="717">
        <f t="shared" si="7"/>
        <v>159.29999999999998</v>
      </c>
      <c r="AC45" s="763">
        <v>17.2</v>
      </c>
      <c r="AD45" s="751">
        <f t="shared" si="8"/>
        <v>59.88372093023256</v>
      </c>
      <c r="AE45" s="762">
        <v>30</v>
      </c>
      <c r="AF45" s="762">
        <v>1.6</v>
      </c>
      <c r="AG45" s="746">
        <v>29</v>
      </c>
      <c r="AH45" s="746">
        <v>0</v>
      </c>
      <c r="AI45" s="768">
        <f t="shared" si="9"/>
        <v>1459.1000000000001</v>
      </c>
      <c r="AJ45" s="746">
        <v>80</v>
      </c>
      <c r="AK45" s="736">
        <f t="shared" si="10"/>
        <v>0.6672304374216065</v>
      </c>
      <c r="AL45" s="751">
        <f t="shared" si="11"/>
        <v>1254.3932223526201</v>
      </c>
      <c r="AM45" s="751">
        <f t="shared" si="12"/>
        <v>3757.9491557641923</v>
      </c>
      <c r="AN45" s="751">
        <f t="shared" si="13"/>
        <v>2042.74</v>
      </c>
      <c r="AO45" s="736">
        <f t="shared" si="14"/>
        <v>355.2436311308338</v>
      </c>
      <c r="AP45" s="717">
        <f t="shared" si="15"/>
        <v>51.67180089175764</v>
      </c>
      <c r="AQ45" s="748" t="str">
        <f t="shared" si="16"/>
        <v>OK</v>
      </c>
      <c r="AR45" s="845">
        <f t="shared" si="17"/>
        <v>754.1</v>
      </c>
      <c r="AS45" s="750">
        <f t="shared" si="18"/>
        <v>62.84166666666667</v>
      </c>
      <c r="AT45" s="751">
        <f t="shared" si="19"/>
        <v>1880</v>
      </c>
      <c r="AU45" s="751">
        <f t="shared" si="20"/>
        <v>156.66666666666666</v>
      </c>
      <c r="AV45" s="746">
        <v>510</v>
      </c>
      <c r="AW45" s="752">
        <f t="shared" si="21"/>
        <v>71.286015625</v>
      </c>
      <c r="AX45" s="726"/>
      <c r="AY45" s="753">
        <v>0</v>
      </c>
      <c r="AZ45" s="754">
        <f t="shared" si="22"/>
        <v>3.0819964349376114</v>
      </c>
      <c r="BA45" s="755">
        <v>1230</v>
      </c>
      <c r="BB45" s="756">
        <f t="shared" si="23"/>
        <v>0.6561060768730984</v>
      </c>
      <c r="BC45" s="752">
        <f t="shared" si="24"/>
        <v>0.6782160034693019</v>
      </c>
      <c r="BD45" s="757">
        <f t="shared" si="25"/>
        <v>0.9166666666666667</v>
      </c>
      <c r="BE45" s="748" t="str">
        <f t="shared" si="26"/>
        <v>OK</v>
      </c>
      <c r="BF45" s="748" t="str">
        <f t="shared" si="27"/>
        <v>OK</v>
      </c>
    </row>
    <row r="46" spans="2:58" s="548" customFormat="1" ht="9.75" thickBot="1">
      <c r="B46" s="769">
        <v>1</v>
      </c>
      <c r="C46" s="846">
        <f t="shared" si="0"/>
        <v>0.75</v>
      </c>
      <c r="D46" s="551"/>
      <c r="E46" s="771" t="s">
        <v>177</v>
      </c>
      <c r="F46" s="847" t="s">
        <v>178</v>
      </c>
      <c r="G46" s="773" t="s">
        <v>163</v>
      </c>
      <c r="H46" s="774">
        <v>30</v>
      </c>
      <c r="I46" s="775"/>
      <c r="J46" s="776">
        <v>8.85</v>
      </c>
      <c r="K46" s="776">
        <v>13.8</v>
      </c>
      <c r="L46" s="777">
        <v>0.27</v>
      </c>
      <c r="M46" s="776"/>
      <c r="N46" s="811"/>
      <c r="O46" s="778" t="str">
        <f t="shared" si="1"/>
        <v>NO</v>
      </c>
      <c r="P46" s="779">
        <v>50</v>
      </c>
      <c r="Q46" s="780">
        <v>1.5</v>
      </c>
      <c r="R46" s="779">
        <v>4</v>
      </c>
      <c r="S46" s="776">
        <v>4</v>
      </c>
      <c r="T46" s="779">
        <v>115</v>
      </c>
      <c r="U46" s="781">
        <v>270</v>
      </c>
      <c r="V46" s="776">
        <v>25</v>
      </c>
      <c r="W46" s="782">
        <f t="shared" si="2"/>
        <v>75</v>
      </c>
      <c r="X46" s="783">
        <f t="shared" si="3"/>
        <v>442.5</v>
      </c>
      <c r="Y46" s="784">
        <f t="shared" si="4"/>
        <v>1.7352941176470589</v>
      </c>
      <c r="Z46" s="819">
        <f t="shared" si="5"/>
        <v>332.9487132352941</v>
      </c>
      <c r="AA46" s="812">
        <f t="shared" si="6"/>
        <v>1</v>
      </c>
      <c r="AB46" s="813">
        <f t="shared" si="7"/>
        <v>111.78</v>
      </c>
      <c r="AC46" s="666">
        <v>17.2</v>
      </c>
      <c r="AD46" s="793">
        <f t="shared" si="8"/>
        <v>51.45348837209303</v>
      </c>
      <c r="AE46" s="605">
        <v>30</v>
      </c>
      <c r="AF46" s="605">
        <v>1.6</v>
      </c>
      <c r="AG46" s="789">
        <v>29</v>
      </c>
      <c r="AH46" s="789">
        <v>0</v>
      </c>
      <c r="AI46" s="791">
        <f t="shared" si="9"/>
        <v>1393.5</v>
      </c>
      <c r="AJ46" s="790">
        <v>80</v>
      </c>
      <c r="AK46" s="782">
        <f t="shared" si="10"/>
        <v>0.697213595499958</v>
      </c>
      <c r="AL46" s="793">
        <f t="shared" si="11"/>
        <v>1254.9844718999243</v>
      </c>
      <c r="AM46" s="793">
        <f t="shared" si="12"/>
        <v>3680.175155039879</v>
      </c>
      <c r="AN46" s="793">
        <f t="shared" si="13"/>
        <v>1950.8999999999999</v>
      </c>
      <c r="AO46" s="792">
        <f t="shared" si="14"/>
        <v>287.51368398749054</v>
      </c>
      <c r="AP46" s="787">
        <f t="shared" si="15"/>
        <v>46.00218943799849</v>
      </c>
      <c r="AQ46" s="794" t="str">
        <f t="shared" si="16"/>
        <v>OK</v>
      </c>
      <c r="AR46" s="795">
        <f t="shared" si="17"/>
        <v>718.5</v>
      </c>
      <c r="AS46" s="796">
        <f t="shared" si="18"/>
        <v>59.875</v>
      </c>
      <c r="AT46" s="793">
        <f t="shared" si="19"/>
        <v>1800</v>
      </c>
      <c r="AU46" s="793">
        <f t="shared" si="20"/>
        <v>150</v>
      </c>
      <c r="AV46" s="789">
        <v>291</v>
      </c>
      <c r="AW46" s="814">
        <f t="shared" si="21"/>
        <v>56.1328125</v>
      </c>
      <c r="AX46" s="592"/>
      <c r="AY46" s="815">
        <v>0</v>
      </c>
      <c r="AZ46" s="816">
        <f t="shared" si="22"/>
        <v>3.1323529411764706</v>
      </c>
      <c r="BA46" s="817">
        <v>738</v>
      </c>
      <c r="BB46" s="818">
        <f t="shared" si="23"/>
        <v>0.748304468094561</v>
      </c>
      <c r="BC46" s="814">
        <f t="shared" si="24"/>
        <v>0.7391978553406223</v>
      </c>
      <c r="BD46" s="819">
        <f t="shared" si="25"/>
        <v>0.8333333333333334</v>
      </c>
      <c r="BE46" s="820" t="str">
        <f t="shared" si="26"/>
        <v>OK</v>
      </c>
      <c r="BF46" s="820" t="str">
        <f t="shared" si="27"/>
        <v>OK</v>
      </c>
    </row>
    <row r="47" spans="3:10" s="548" customFormat="1" ht="9">
      <c r="C47" s="659"/>
      <c r="E47" s="665"/>
      <c r="F47" s="665"/>
      <c r="J47" s="656"/>
    </row>
    <row r="48" spans="3:69" s="548" customFormat="1" ht="11.25">
      <c r="C48" s="659"/>
      <c r="E48" s="652"/>
      <c r="F48" s="584"/>
      <c r="G48" s="584" t="s">
        <v>111</v>
      </c>
      <c r="H48" s="584"/>
      <c r="I48" s="584"/>
      <c r="J48" s="584"/>
      <c r="K48" s="584"/>
      <c r="L48" s="580"/>
      <c r="Y48" s="98" t="s">
        <v>289</v>
      </c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98" t="s">
        <v>290</v>
      </c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98" t="s">
        <v>291</v>
      </c>
    </row>
    <row r="49" spans="2:12" s="548" customFormat="1" ht="9.75" thickBot="1">
      <c r="B49" s="580"/>
      <c r="C49" s="659"/>
      <c r="E49" s="660"/>
      <c r="F49" s="661" t="s">
        <v>120</v>
      </c>
      <c r="G49" s="662"/>
      <c r="H49" s="662"/>
      <c r="I49" s="663" t="s">
        <v>121</v>
      </c>
      <c r="J49" s="663"/>
      <c r="K49" s="664" t="s">
        <v>122</v>
      </c>
      <c r="L49" s="655"/>
    </row>
    <row r="50" spans="2:12" s="548" customFormat="1" ht="9.75" thickTop="1">
      <c r="B50" s="655"/>
      <c r="C50" s="651"/>
      <c r="E50" s="652"/>
      <c r="F50" s="848" t="s">
        <v>5</v>
      </c>
      <c r="J50" s="645" t="s">
        <v>195</v>
      </c>
      <c r="K50" s="655"/>
      <c r="L50" s="655"/>
    </row>
    <row r="51" spans="2:12" s="548" customFormat="1" ht="9">
      <c r="B51" s="655"/>
      <c r="C51" s="651"/>
      <c r="E51" s="660"/>
      <c r="G51" s="665"/>
      <c r="H51" s="548" t="s">
        <v>21</v>
      </c>
      <c r="I51" s="665"/>
      <c r="K51" s="685"/>
      <c r="L51" s="655"/>
    </row>
    <row r="52" spans="2:12" s="548" customFormat="1" ht="9">
      <c r="B52" s="655"/>
      <c r="C52" s="651"/>
      <c r="E52" s="660"/>
      <c r="J52" s="580"/>
      <c r="K52" s="579"/>
      <c r="L52" s="580"/>
    </row>
    <row r="53" spans="2:12" s="548" customFormat="1" ht="9.75" thickBot="1">
      <c r="B53" s="666"/>
      <c r="C53" s="659"/>
      <c r="E53" s="849"/>
      <c r="J53" s="580"/>
      <c r="K53" s="580"/>
      <c r="L53" s="580"/>
    </row>
    <row r="54" spans="2:69" s="548" customFormat="1" ht="9.75" thickBot="1">
      <c r="B54" s="669"/>
      <c r="C54" s="670"/>
      <c r="D54" s="551"/>
      <c r="E54" s="552" t="s">
        <v>191</v>
      </c>
      <c r="F54" s="850" t="s">
        <v>194</v>
      </c>
      <c r="G54" s="554"/>
      <c r="H54" s="554"/>
      <c r="I54" s="672"/>
      <c r="J54" s="554"/>
      <c r="K54" s="555"/>
      <c r="L54" s="554"/>
      <c r="M54" s="555"/>
      <c r="N54" s="851"/>
      <c r="O54" s="554"/>
      <c r="P54" s="554"/>
      <c r="Q54" s="554"/>
      <c r="R54" s="554"/>
      <c r="S54" s="554"/>
      <c r="T54" s="554"/>
      <c r="U54" s="554"/>
      <c r="V54" s="554"/>
      <c r="W54" s="554"/>
      <c r="X54" s="554"/>
      <c r="Y54" s="556"/>
      <c r="Z54" s="554"/>
      <c r="AA54" s="554"/>
      <c r="AB54" s="554"/>
      <c r="AC54" s="554"/>
      <c r="AD54" s="554"/>
      <c r="AE54" s="554"/>
      <c r="AF54" s="554"/>
      <c r="AG54" s="554"/>
      <c r="AH54" s="554"/>
      <c r="AI54" s="554"/>
      <c r="AJ54" s="554"/>
      <c r="AK54" s="554"/>
      <c r="AL54" s="554"/>
      <c r="AM54" s="554"/>
      <c r="AN54" s="554"/>
      <c r="AO54" s="554"/>
      <c r="AP54" s="554"/>
      <c r="AQ54" s="554"/>
      <c r="AR54" s="554"/>
      <c r="AS54" s="554"/>
      <c r="AT54" s="554"/>
      <c r="AU54" s="554"/>
      <c r="AV54" s="554"/>
      <c r="AW54" s="554"/>
      <c r="AX54" s="554"/>
      <c r="AY54" s="554"/>
      <c r="AZ54" s="554"/>
      <c r="BA54" s="554"/>
      <c r="BB54" s="556"/>
      <c r="BC54" s="554"/>
      <c r="BD54" s="554"/>
      <c r="BE54" s="554"/>
      <c r="BF54" s="554"/>
      <c r="BG54" s="554"/>
      <c r="BH54" s="554"/>
      <c r="BI54" s="554"/>
      <c r="BJ54" s="554"/>
      <c r="BK54" s="554"/>
      <c r="BL54" s="554"/>
      <c r="BM54" s="554"/>
      <c r="BN54" s="554"/>
      <c r="BO54" s="554"/>
      <c r="BP54" s="554"/>
      <c r="BQ54" s="556"/>
    </row>
    <row r="55" spans="2:69" s="548" customFormat="1" ht="9">
      <c r="B55" s="557" t="s">
        <v>244</v>
      </c>
      <c r="C55" s="558" t="s">
        <v>56</v>
      </c>
      <c r="D55" s="551"/>
      <c r="E55" s="559"/>
      <c r="F55" s="560"/>
      <c r="G55" s="561" t="s">
        <v>58</v>
      </c>
      <c r="H55" s="561"/>
      <c r="I55" s="673"/>
      <c r="J55" s="561"/>
      <c r="K55" s="561"/>
      <c r="L55" s="561"/>
      <c r="M55" s="852"/>
      <c r="N55" s="853"/>
      <c r="O55" s="561"/>
      <c r="P55" s="562"/>
      <c r="Q55" s="563" t="s">
        <v>34</v>
      </c>
      <c r="R55" s="564"/>
      <c r="S55" s="565" t="s">
        <v>61</v>
      </c>
      <c r="T55" s="566"/>
      <c r="U55" s="567" t="s">
        <v>25</v>
      </c>
      <c r="V55" s="568"/>
      <c r="W55" s="568"/>
      <c r="X55" s="571" t="s">
        <v>49</v>
      </c>
      <c r="Y55" s="569"/>
      <c r="Z55" s="674"/>
      <c r="AA55" s="675" t="s">
        <v>96</v>
      </c>
      <c r="AB55" s="676"/>
      <c r="AC55" s="563" t="s">
        <v>17</v>
      </c>
      <c r="AD55" s="568"/>
      <c r="AE55" s="575" t="s">
        <v>7</v>
      </c>
      <c r="AF55" s="575" t="s">
        <v>7</v>
      </c>
      <c r="AG55" s="677" t="s">
        <v>7</v>
      </c>
      <c r="AH55" s="571" t="s">
        <v>7</v>
      </c>
      <c r="AI55" s="575" t="s">
        <v>7</v>
      </c>
      <c r="AJ55" s="574" t="s">
        <v>113</v>
      </c>
      <c r="AK55" s="678" t="s">
        <v>8</v>
      </c>
      <c r="AL55" s="679" t="s">
        <v>8</v>
      </c>
      <c r="AM55" s="680" t="s">
        <v>8</v>
      </c>
      <c r="AN55" s="680" t="s">
        <v>113</v>
      </c>
      <c r="AO55" s="680" t="s">
        <v>113</v>
      </c>
      <c r="AP55" s="680" t="s">
        <v>97</v>
      </c>
      <c r="AQ55" s="680" t="s">
        <v>97</v>
      </c>
      <c r="AR55" s="588" t="s">
        <v>98</v>
      </c>
      <c r="AS55" s="588" t="s">
        <v>98</v>
      </c>
      <c r="AT55" s="588" t="s">
        <v>5</v>
      </c>
      <c r="AU55" s="588" t="s">
        <v>195</v>
      </c>
      <c r="AV55" s="854" t="s">
        <v>196</v>
      </c>
      <c r="AW55" s="854" t="s">
        <v>197</v>
      </c>
      <c r="AX55" s="854" t="s">
        <v>198</v>
      </c>
      <c r="AY55" s="854" t="s">
        <v>199</v>
      </c>
      <c r="AZ55" s="855" t="s">
        <v>14</v>
      </c>
      <c r="BA55" s="856" t="s">
        <v>36</v>
      </c>
      <c r="BB55" s="681" t="s">
        <v>50</v>
      </c>
      <c r="BC55" s="574" t="s">
        <v>7</v>
      </c>
      <c r="BD55" s="571" t="s">
        <v>7</v>
      </c>
      <c r="BE55" s="575" t="s">
        <v>8</v>
      </c>
      <c r="BF55" s="575" t="s">
        <v>8</v>
      </c>
      <c r="BG55" s="574" t="s">
        <v>34</v>
      </c>
      <c r="BH55" s="578" t="s">
        <v>14</v>
      </c>
      <c r="BI55" s="578" t="s">
        <v>51</v>
      </c>
      <c r="BJ55" s="575" t="s">
        <v>9</v>
      </c>
      <c r="BK55" s="575" t="s">
        <v>10</v>
      </c>
      <c r="BL55" s="577" t="s">
        <v>29</v>
      </c>
      <c r="BM55" s="574" t="s">
        <v>41</v>
      </c>
      <c r="BN55" s="578" t="s">
        <v>42</v>
      </c>
      <c r="BO55" s="590" t="s">
        <v>99</v>
      </c>
      <c r="BP55" s="682" t="s">
        <v>7</v>
      </c>
      <c r="BQ55" s="560" t="s">
        <v>8</v>
      </c>
    </row>
    <row r="56" spans="2:69" s="548" customFormat="1" ht="9">
      <c r="B56" s="570"/>
      <c r="C56" s="583"/>
      <c r="D56" s="551"/>
      <c r="E56" s="559"/>
      <c r="F56" s="582"/>
      <c r="G56" s="584"/>
      <c r="H56" s="584"/>
      <c r="I56" s="683"/>
      <c r="J56" s="584"/>
      <c r="K56" s="584"/>
      <c r="L56" s="584"/>
      <c r="M56" s="857"/>
      <c r="N56" s="858"/>
      <c r="O56" s="584"/>
      <c r="P56" s="585"/>
      <c r="Q56" s="571" t="s">
        <v>1</v>
      </c>
      <c r="R56" s="586"/>
      <c r="S56" s="587" t="s">
        <v>62</v>
      </c>
      <c r="T56" s="587" t="s">
        <v>63</v>
      </c>
      <c r="U56" s="588" t="s">
        <v>26</v>
      </c>
      <c r="V56" s="589"/>
      <c r="W56" s="589"/>
      <c r="Y56" s="572"/>
      <c r="Z56" s="578" t="s">
        <v>51</v>
      </c>
      <c r="AA56" s="684" t="s">
        <v>74</v>
      </c>
      <c r="AB56" s="578" t="s">
        <v>52</v>
      </c>
      <c r="AC56" s="571" t="s">
        <v>18</v>
      </c>
      <c r="AD56" s="575" t="s">
        <v>30</v>
      </c>
      <c r="AE56" s="575" t="s">
        <v>70</v>
      </c>
      <c r="AF56" s="575" t="s">
        <v>34</v>
      </c>
      <c r="AG56" s="575" t="s">
        <v>61</v>
      </c>
      <c r="AH56" s="679" t="s">
        <v>87</v>
      </c>
      <c r="AI56" s="575" t="s">
        <v>62</v>
      </c>
      <c r="AJ56" s="574" t="s">
        <v>7</v>
      </c>
      <c r="AK56" s="579"/>
      <c r="AL56" s="679" t="s">
        <v>67</v>
      </c>
      <c r="AM56" s="680" t="s">
        <v>81</v>
      </c>
      <c r="AN56" s="680" t="s">
        <v>200</v>
      </c>
      <c r="AO56" s="680" t="s">
        <v>200</v>
      </c>
      <c r="AP56" s="680" t="s">
        <v>15</v>
      </c>
      <c r="AQ56" s="680" t="s">
        <v>15</v>
      </c>
      <c r="AR56" s="588"/>
      <c r="AS56" s="588"/>
      <c r="AT56" s="588"/>
      <c r="AU56" s="588"/>
      <c r="AV56" s="854"/>
      <c r="AW56" s="854"/>
      <c r="AX56" s="854"/>
      <c r="AY56" s="854"/>
      <c r="AZ56" s="559"/>
      <c r="BA56" s="859"/>
      <c r="BB56" s="582" t="s">
        <v>37</v>
      </c>
      <c r="BC56" s="574" t="s">
        <v>85</v>
      </c>
      <c r="BD56" s="580"/>
      <c r="BE56" s="589"/>
      <c r="BF56" s="589"/>
      <c r="BG56" s="574" t="s">
        <v>33</v>
      </c>
      <c r="BH56" s="577" t="s">
        <v>85</v>
      </c>
      <c r="BI56" s="576" t="s">
        <v>34</v>
      </c>
      <c r="BJ56" s="579"/>
      <c r="BK56" s="580"/>
      <c r="BL56" s="577" t="s">
        <v>46</v>
      </c>
      <c r="BM56" s="574" t="s">
        <v>13</v>
      </c>
      <c r="BN56" s="578"/>
      <c r="BO56" s="551"/>
      <c r="BP56" s="581" t="s">
        <v>39</v>
      </c>
      <c r="BQ56" s="582" t="s">
        <v>39</v>
      </c>
    </row>
    <row r="57" spans="2:69" s="548" customFormat="1" ht="9">
      <c r="B57" s="570"/>
      <c r="C57" s="583"/>
      <c r="D57" s="551"/>
      <c r="E57" s="559"/>
      <c r="F57" s="582"/>
      <c r="G57" s="591" t="s">
        <v>59</v>
      </c>
      <c r="H57" s="579" t="s">
        <v>56</v>
      </c>
      <c r="I57" s="685" t="s">
        <v>88</v>
      </c>
      <c r="J57" s="575" t="s">
        <v>47</v>
      </c>
      <c r="K57" s="575" t="s">
        <v>0</v>
      </c>
      <c r="L57" s="575" t="s">
        <v>2</v>
      </c>
      <c r="M57" s="680" t="s">
        <v>90</v>
      </c>
      <c r="N57" s="860" t="s">
        <v>285</v>
      </c>
      <c r="O57" s="575" t="s">
        <v>95</v>
      </c>
      <c r="P57" s="575" t="s">
        <v>3</v>
      </c>
      <c r="Q57" s="571" t="s">
        <v>19</v>
      </c>
      <c r="R57" s="575" t="s">
        <v>4</v>
      </c>
      <c r="S57" s="575" t="s">
        <v>19</v>
      </c>
      <c r="T57" s="575" t="s">
        <v>56</v>
      </c>
      <c r="U57" s="588" t="s">
        <v>16</v>
      </c>
      <c r="V57" s="575" t="s">
        <v>21</v>
      </c>
      <c r="W57" s="575" t="s">
        <v>48</v>
      </c>
      <c r="X57" s="571" t="s">
        <v>6</v>
      </c>
      <c r="Y57" s="577" t="s">
        <v>5</v>
      </c>
      <c r="Z57" s="578" t="s">
        <v>53</v>
      </c>
      <c r="AA57" s="573"/>
      <c r="AB57" s="578"/>
      <c r="AC57" s="571" t="s">
        <v>32</v>
      </c>
      <c r="AD57" s="575" t="s">
        <v>31</v>
      </c>
      <c r="AE57" s="575" t="s">
        <v>71</v>
      </c>
      <c r="AF57" s="575" t="s">
        <v>72</v>
      </c>
      <c r="AG57" s="575"/>
      <c r="AH57" s="679" t="s">
        <v>86</v>
      </c>
      <c r="AI57" s="575"/>
      <c r="AJ57" s="575" t="s">
        <v>111</v>
      </c>
      <c r="AK57" s="589"/>
      <c r="AL57" s="679" t="s">
        <v>27</v>
      </c>
      <c r="AM57" s="680" t="s">
        <v>201</v>
      </c>
      <c r="AN57" s="680" t="s">
        <v>111</v>
      </c>
      <c r="AO57" s="680" t="s">
        <v>202</v>
      </c>
      <c r="AP57" s="575" t="s">
        <v>83</v>
      </c>
      <c r="AQ57" s="575" t="s">
        <v>114</v>
      </c>
      <c r="AR57" s="574" t="s">
        <v>83</v>
      </c>
      <c r="AS57" s="574" t="s">
        <v>114</v>
      </c>
      <c r="AT57" s="574"/>
      <c r="AU57" s="574"/>
      <c r="AV57" s="559"/>
      <c r="AW57" s="559"/>
      <c r="AX57" s="559"/>
      <c r="AY57" s="559"/>
      <c r="AZ57" s="559"/>
      <c r="BA57" s="859"/>
      <c r="BB57" s="578" t="s">
        <v>54</v>
      </c>
      <c r="BC57" s="686"/>
      <c r="BD57" s="589"/>
      <c r="BE57" s="589"/>
      <c r="BF57" s="589"/>
      <c r="BG57" s="589"/>
      <c r="BH57" s="572"/>
      <c r="BI57" s="576" t="s">
        <v>84</v>
      </c>
      <c r="BJ57" s="579"/>
      <c r="BK57" s="589"/>
      <c r="BL57" s="551"/>
      <c r="BM57" s="579"/>
      <c r="BN57" s="572"/>
      <c r="BO57" s="570"/>
      <c r="BP57" s="570"/>
      <c r="BQ57" s="570"/>
    </row>
    <row r="58" spans="2:69" s="548" customFormat="1" ht="9.75" thickBot="1">
      <c r="B58" s="592"/>
      <c r="C58" s="593" t="s">
        <v>246</v>
      </c>
      <c r="D58" s="551"/>
      <c r="E58" s="594"/>
      <c r="F58" s="595"/>
      <c r="G58" s="596" t="s">
        <v>60</v>
      </c>
      <c r="H58" s="596" t="s">
        <v>11</v>
      </c>
      <c r="I58" s="687"/>
      <c r="J58" s="597" t="s">
        <v>43</v>
      </c>
      <c r="K58" s="597" t="s">
        <v>40</v>
      </c>
      <c r="L58" s="597" t="s">
        <v>40</v>
      </c>
      <c r="M58" s="688"/>
      <c r="N58" s="861"/>
      <c r="O58" s="597"/>
      <c r="P58" s="597" t="s">
        <v>44</v>
      </c>
      <c r="Q58" s="598" t="s">
        <v>40</v>
      </c>
      <c r="R58" s="597" t="s">
        <v>44</v>
      </c>
      <c r="S58" s="597" t="s">
        <v>40</v>
      </c>
      <c r="T58" s="597" t="s">
        <v>57</v>
      </c>
      <c r="U58" s="599" t="s">
        <v>40</v>
      </c>
      <c r="V58" s="597" t="s">
        <v>12</v>
      </c>
      <c r="W58" s="597" t="s">
        <v>40</v>
      </c>
      <c r="X58" s="598" t="s">
        <v>35</v>
      </c>
      <c r="Y58" s="600" t="s">
        <v>40</v>
      </c>
      <c r="Z58" s="578" t="s">
        <v>45</v>
      </c>
      <c r="AA58" s="573"/>
      <c r="AB58" s="577" t="s">
        <v>35</v>
      </c>
      <c r="AC58" s="571" t="s">
        <v>24</v>
      </c>
      <c r="AD58" s="575" t="s">
        <v>22</v>
      </c>
      <c r="AE58" s="575" t="s">
        <v>28</v>
      </c>
      <c r="AF58" s="575" t="s">
        <v>28</v>
      </c>
      <c r="AG58" s="574" t="s">
        <v>28</v>
      </c>
      <c r="AH58" s="574" t="s">
        <v>11</v>
      </c>
      <c r="AI58" s="575" t="s">
        <v>11</v>
      </c>
      <c r="AJ58" s="574" t="s">
        <v>112</v>
      </c>
      <c r="AK58" s="678" t="s">
        <v>28</v>
      </c>
      <c r="AL58" s="589"/>
      <c r="AM58" s="680" t="s">
        <v>11</v>
      </c>
      <c r="AN58" s="680" t="s">
        <v>112</v>
      </c>
      <c r="AO58" s="680" t="s">
        <v>112</v>
      </c>
      <c r="AP58" s="862" t="s">
        <v>11</v>
      </c>
      <c r="AQ58" s="689" t="s">
        <v>112</v>
      </c>
      <c r="AR58" s="690" t="s">
        <v>11</v>
      </c>
      <c r="AS58" s="690" t="s">
        <v>11</v>
      </c>
      <c r="AT58" s="690" t="s">
        <v>12</v>
      </c>
      <c r="AU58" s="690" t="s">
        <v>12</v>
      </c>
      <c r="AV58" s="612" t="s">
        <v>45</v>
      </c>
      <c r="AW58" s="612" t="s">
        <v>45</v>
      </c>
      <c r="AX58" s="612" t="s">
        <v>45</v>
      </c>
      <c r="AY58" s="612" t="s">
        <v>45</v>
      </c>
      <c r="AZ58" s="612" t="s">
        <v>45</v>
      </c>
      <c r="BA58" s="859" t="s">
        <v>35</v>
      </c>
      <c r="BB58" s="590" t="s">
        <v>23</v>
      </c>
      <c r="BC58" s="691" t="s">
        <v>11</v>
      </c>
      <c r="BD58" s="692" t="s">
        <v>20</v>
      </c>
      <c r="BE58" s="693" t="s">
        <v>11</v>
      </c>
      <c r="BF58" s="693" t="s">
        <v>20</v>
      </c>
      <c r="BG58" s="607" t="s">
        <v>38</v>
      </c>
      <c r="BH58" s="601" t="s">
        <v>45</v>
      </c>
      <c r="BI58" s="601" t="s">
        <v>45</v>
      </c>
      <c r="BJ58" s="597" t="s">
        <v>40</v>
      </c>
      <c r="BK58" s="597" t="s">
        <v>40</v>
      </c>
      <c r="BL58" s="606" t="s">
        <v>38</v>
      </c>
      <c r="BM58" s="604" t="s">
        <v>40</v>
      </c>
      <c r="BN58" s="601" t="s">
        <v>40</v>
      </c>
      <c r="BO58" s="694" t="s">
        <v>40</v>
      </c>
      <c r="BP58" s="608" t="s">
        <v>23</v>
      </c>
      <c r="BQ58" s="608" t="s">
        <v>23</v>
      </c>
    </row>
    <row r="59" spans="2:69" s="548" customFormat="1" ht="9">
      <c r="B59" s="695">
        <v>1</v>
      </c>
      <c r="C59" s="696">
        <f aca="true" t="shared" si="28" ref="C59:C64">B59*V59*$H59/1000</f>
        <v>1.08</v>
      </c>
      <c r="D59" s="551"/>
      <c r="E59" s="863" t="s">
        <v>265</v>
      </c>
      <c r="F59" s="864" t="s">
        <v>266</v>
      </c>
      <c r="G59" s="699" t="s">
        <v>203</v>
      </c>
      <c r="H59" s="865">
        <v>40</v>
      </c>
      <c r="I59" s="700"/>
      <c r="J59" s="831">
        <v>11.8</v>
      </c>
      <c r="K59" s="831">
        <v>17.9</v>
      </c>
      <c r="L59" s="703">
        <v>0.315</v>
      </c>
      <c r="M59" s="866"/>
      <c r="N59" s="832"/>
      <c r="O59" s="704" t="str">
        <f aca="true" t="shared" si="29" ref="O59:O64">IF(M59&lt;1.1*((N59*29000)/P59)^0.5,1,"NO")</f>
        <v>NO</v>
      </c>
      <c r="P59" s="568">
        <v>50</v>
      </c>
      <c r="Q59" s="561">
        <v>1.5</v>
      </c>
      <c r="R59" s="568">
        <v>4</v>
      </c>
      <c r="S59" s="705">
        <v>4</v>
      </c>
      <c r="T59" s="568">
        <v>115</v>
      </c>
      <c r="U59" s="715">
        <v>285</v>
      </c>
      <c r="V59" s="831">
        <v>27</v>
      </c>
      <c r="W59" s="707">
        <f aca="true" t="shared" si="30" ref="W59:W64">MIN((V59/4)*12,U59)</f>
        <v>81</v>
      </c>
      <c r="X59" s="708">
        <f aca="true" t="shared" si="31" ref="X59:X64">J59*P59</f>
        <v>590</v>
      </c>
      <c r="Y59" s="709">
        <f aca="true" t="shared" si="32" ref="Y59:Y64">(J59*P59)/(0.85*R59*W59)</f>
        <v>2.142338416848221</v>
      </c>
      <c r="Z59" s="710">
        <f aca="true" t="shared" si="33" ref="Z59:Z64">(0.9*((J59*P59*(K59/2))+(0.85*R59*Y59*W59*(S59-(Y59/2)))))/12</f>
        <v>525.6382625272332</v>
      </c>
      <c r="AA59" s="711">
        <f aca="true" t="shared" si="34" ref="AA59:AA64">IF(I59="v",0.9,1)</f>
        <v>1</v>
      </c>
      <c r="AB59" s="837">
        <f aca="true" t="shared" si="35" ref="AB59:AB64">IF(O59="NO",AA59*0.6*P59*K59*L59,AA59*0.6*P59*K59*L59*O59)</f>
        <v>169.155</v>
      </c>
      <c r="AC59" s="561">
        <v>17.2</v>
      </c>
      <c r="AD59" s="838">
        <f aca="true" t="shared" si="36" ref="AD59:AD64">(X59/AC59)*2</f>
        <v>68.6046511627907</v>
      </c>
      <c r="AE59" s="568">
        <v>30</v>
      </c>
      <c r="AF59" s="568">
        <v>1.6</v>
      </c>
      <c r="AG59" s="839">
        <v>29</v>
      </c>
      <c r="AH59" s="839">
        <v>0</v>
      </c>
      <c r="AI59" s="840">
        <f aca="true" t="shared" si="37" ref="AI59:AI64">((AE59+AG59+AF59)*(U59/12))+H59+AH59</f>
        <v>1479.25</v>
      </c>
      <c r="AJ59" s="867">
        <v>9947</v>
      </c>
      <c r="AK59" s="715">
        <v>125</v>
      </c>
      <c r="AL59" s="707">
        <f aca="true" t="shared" si="38" ref="AL59:AL64">IF(0.25+(15/($E$6*V59*(U59/12))^0.5)&gt;0.5,IF(0.25+(15/($E$6*V59*(U59/12))^0.5)&gt;1,1,0.25+(15/($E$6*V59*(U59/12))^0.5)),0.5)</f>
        <v>0.6688539082916956</v>
      </c>
      <c r="AM59" s="838">
        <f aca="true" t="shared" si="39" ref="AM59:AM64">(AK59*AL59)*(U59/12)</f>
        <v>1985.6600402409713</v>
      </c>
      <c r="AN59" s="868">
        <v>5371</v>
      </c>
      <c r="AO59" s="713">
        <f aca="true" t="shared" si="40" ref="AO59:AO64">AN59*AL59</f>
        <v>3592.414341434697</v>
      </c>
      <c r="AP59" s="838">
        <f aca="true" t="shared" si="41" ref="AP59:AP64">(1.2*AI59)+(1.6*AM59)</f>
        <v>4952.156064385554</v>
      </c>
      <c r="AQ59" s="742">
        <f aca="true" t="shared" si="42" ref="AQ59:AQ64">(1.2*AJ59)+(1.6*AO59)</f>
        <v>17684.262946295516</v>
      </c>
      <c r="AR59" s="869">
        <f aca="true" t="shared" si="43" ref="AR59:AS64">1.4*AI59</f>
        <v>2070.95</v>
      </c>
      <c r="AS59" s="742">
        <f t="shared" si="43"/>
        <v>13925.8</v>
      </c>
      <c r="AT59" s="870">
        <v>2</v>
      </c>
      <c r="AU59" s="870">
        <v>25</v>
      </c>
      <c r="AV59" s="713">
        <f aca="true" t="shared" si="44" ref="AV59:AV64">AQ59*AT59*AU59/V59/1000</f>
        <v>32.74863508573244</v>
      </c>
      <c r="AW59" s="713">
        <f aca="true" t="shared" si="45" ref="AW59:AW64">((V59/2)/AU59)*AV59</f>
        <v>17.68426294629552</v>
      </c>
      <c r="AX59" s="713">
        <f aca="true" t="shared" si="46" ref="AX59:AX64">AP59*AT59*(V59-AT59)/2000</f>
        <v>123.80390160963884</v>
      </c>
      <c r="AY59" s="713">
        <f aca="true" t="shared" si="47" ref="AY59:AY64">MAX((AR59*V59*V59)/8000,(AP59*V59*V59)/8000)</f>
        <v>451.26522136713356</v>
      </c>
      <c r="AZ59" s="707">
        <f aca="true" t="shared" si="48" ref="AZ59:AZ64">MAX(AV59+AX59,AW59+AY59)</f>
        <v>468.9494843134291</v>
      </c>
      <c r="BA59" s="712">
        <f aca="true" t="shared" si="49" ref="BA59:BA64">(AQ59*AU59/V59/1000)+(AP59*V59/2000)</f>
        <v>83.22842441207119</v>
      </c>
      <c r="BB59" s="718" t="str">
        <f aca="true" t="shared" si="50" ref="BB59:BB64">IF(AND(Z59&gt;AZ59,AB59&gt;BA59),"OK","NG")</f>
        <v>OK</v>
      </c>
      <c r="BC59" s="719">
        <f aca="true" t="shared" si="51" ref="BC59:BC64">((AF59+AG59)*(U59/12))+H59</f>
        <v>766.75</v>
      </c>
      <c r="BD59" s="871">
        <f aca="true" t="shared" si="52" ref="BD59:BD64">BC59/12</f>
        <v>63.895833333333336</v>
      </c>
      <c r="BE59" s="838">
        <f aca="true" t="shared" si="53" ref="BE59:BE64">AK59*(U59/12)</f>
        <v>2968.75</v>
      </c>
      <c r="BF59" s="838">
        <f aca="true" t="shared" si="54" ref="BF59:BF64">BE59/12</f>
        <v>247.39583333333334</v>
      </c>
      <c r="BG59" s="746">
        <v>612</v>
      </c>
      <c r="BH59" s="721">
        <f aca="true" t="shared" si="55" ref="BH59:BH64">((BC59*V59*V59)/8000)+(AJ59*AT59*AU59/V59/1000)</f>
        <v>88.29046412037036</v>
      </c>
      <c r="BI59" s="695"/>
      <c r="BJ59" s="722">
        <v>0</v>
      </c>
      <c r="BK59" s="872">
        <f aca="true" t="shared" si="56" ref="BK59:BK64">S59-Y59/2</f>
        <v>2.9288307915758898</v>
      </c>
      <c r="BL59" s="755">
        <v>1430</v>
      </c>
      <c r="BM59" s="711">
        <f aca="true" t="shared" si="57" ref="BM59:BM64">(5*(BD59)*((V59*12)^4))/(384*29000000*BG59)+((AJ59*(AT59*12)*((V59*12)/2)*((V59*12)^2-(AT59*12)^2-((V59*12)/2)^2))/(6*29000000*BG59*(V59*12)))</f>
        <v>0.604191411194219</v>
      </c>
      <c r="BN59" s="721">
        <f aca="true" t="shared" si="58" ref="BN59:BN64">(5*(BF59)*((V59*12)^4))/(384*29000000*BL59)+((AN59*(AT59*12)*((V59*12)/2)*((V59*12)^2-(AT59*12)^2-((V59*12)/2)^2))/(6*29000000*BL59*(V59*12)))</f>
        <v>0.8762515022636846</v>
      </c>
      <c r="BO59" s="710">
        <f aca="true" t="shared" si="59" ref="BO59:BO64">(V59/360)*12</f>
        <v>0.8999999999999999</v>
      </c>
      <c r="BP59" s="718" t="str">
        <f aca="true" t="shared" si="60" ref="BP59:BP64">IF(BM59&gt;BO59,"NG","OK")</f>
        <v>OK</v>
      </c>
      <c r="BQ59" s="718" t="str">
        <f aca="true" t="shared" si="61" ref="BQ59:BQ64">IF(BN59&gt;BO59,"NG","OK")</f>
        <v>OK</v>
      </c>
    </row>
    <row r="60" spans="2:69" s="548" customFormat="1" ht="9.75" thickBot="1">
      <c r="B60" s="769">
        <v>1</v>
      </c>
      <c r="C60" s="846">
        <f t="shared" si="28"/>
        <v>0.945</v>
      </c>
      <c r="D60" s="551"/>
      <c r="E60" s="873" t="s">
        <v>137</v>
      </c>
      <c r="F60" s="582" t="s">
        <v>171</v>
      </c>
      <c r="G60" s="874" t="s">
        <v>203</v>
      </c>
      <c r="H60" s="874">
        <v>35</v>
      </c>
      <c r="I60" s="875"/>
      <c r="J60" s="733">
        <v>10.3</v>
      </c>
      <c r="K60" s="733">
        <v>17.7</v>
      </c>
      <c r="L60" s="876">
        <v>0.3</v>
      </c>
      <c r="M60" s="877"/>
      <c r="N60" s="878"/>
      <c r="O60" s="731" t="str">
        <f t="shared" si="29"/>
        <v>NO</v>
      </c>
      <c r="P60" s="586">
        <v>50</v>
      </c>
      <c r="Q60" s="732">
        <v>1.5</v>
      </c>
      <c r="R60" s="586">
        <v>4</v>
      </c>
      <c r="S60" s="733">
        <v>4</v>
      </c>
      <c r="T60" s="586">
        <v>115</v>
      </c>
      <c r="U60" s="734">
        <v>285</v>
      </c>
      <c r="V60" s="733">
        <v>27</v>
      </c>
      <c r="W60" s="879">
        <f t="shared" si="30"/>
        <v>81</v>
      </c>
      <c r="X60" s="880">
        <f t="shared" si="31"/>
        <v>515</v>
      </c>
      <c r="Y60" s="881">
        <f t="shared" si="32"/>
        <v>1.870007262164125</v>
      </c>
      <c r="Z60" s="882">
        <f t="shared" si="33"/>
        <v>460.2167347494553</v>
      </c>
      <c r="AA60" s="883">
        <f t="shared" si="34"/>
        <v>1</v>
      </c>
      <c r="AB60" s="884">
        <f t="shared" si="35"/>
        <v>159.29999999999998</v>
      </c>
      <c r="AC60" s="591">
        <v>17.2</v>
      </c>
      <c r="AD60" s="885">
        <f t="shared" si="36"/>
        <v>59.88372093023256</v>
      </c>
      <c r="AE60" s="586">
        <v>30</v>
      </c>
      <c r="AF60" s="586">
        <v>1.6</v>
      </c>
      <c r="AG60" s="877">
        <v>29</v>
      </c>
      <c r="AH60" s="877">
        <v>0</v>
      </c>
      <c r="AI60" s="886">
        <f t="shared" si="37"/>
        <v>1474.25</v>
      </c>
      <c r="AJ60" s="887">
        <v>9947</v>
      </c>
      <c r="AK60" s="734">
        <v>80</v>
      </c>
      <c r="AL60" s="879">
        <f t="shared" si="38"/>
        <v>0.6688539082916956</v>
      </c>
      <c r="AM60" s="885">
        <f t="shared" si="39"/>
        <v>1270.8224257542215</v>
      </c>
      <c r="AN60" s="888">
        <v>3438</v>
      </c>
      <c r="AO60" s="869">
        <f t="shared" si="40"/>
        <v>2299.5197367068495</v>
      </c>
      <c r="AP60" s="885">
        <f t="shared" si="41"/>
        <v>3802.4158812067544</v>
      </c>
      <c r="AQ60" s="885">
        <f t="shared" si="42"/>
        <v>15615.63157873096</v>
      </c>
      <c r="AR60" s="885">
        <f t="shared" si="43"/>
        <v>2063.95</v>
      </c>
      <c r="AS60" s="885">
        <f t="shared" si="43"/>
        <v>13925.8</v>
      </c>
      <c r="AT60" s="889">
        <v>2</v>
      </c>
      <c r="AU60" s="889">
        <v>25</v>
      </c>
      <c r="AV60" s="869">
        <f t="shared" si="44"/>
        <v>28.917836256909183</v>
      </c>
      <c r="AW60" s="869">
        <f t="shared" si="45"/>
        <v>15.61563157873096</v>
      </c>
      <c r="AX60" s="869">
        <f t="shared" si="46"/>
        <v>95.06039703016886</v>
      </c>
      <c r="AY60" s="869">
        <f t="shared" si="47"/>
        <v>346.49514717496555</v>
      </c>
      <c r="AZ60" s="890">
        <f t="shared" si="48"/>
        <v>362.11077875369654</v>
      </c>
      <c r="BA60" s="891">
        <f t="shared" si="49"/>
        <v>65.79153252474578</v>
      </c>
      <c r="BB60" s="892" t="str">
        <f t="shared" si="50"/>
        <v>OK</v>
      </c>
      <c r="BC60" s="893">
        <f t="shared" si="51"/>
        <v>761.75</v>
      </c>
      <c r="BD60" s="885">
        <f t="shared" si="52"/>
        <v>63.479166666666664</v>
      </c>
      <c r="BE60" s="885">
        <f t="shared" si="53"/>
        <v>1900</v>
      </c>
      <c r="BF60" s="885">
        <f t="shared" si="54"/>
        <v>158.33333333333334</v>
      </c>
      <c r="BG60" s="744">
        <v>510</v>
      </c>
      <c r="BH60" s="894">
        <f t="shared" si="55"/>
        <v>87.83483912037036</v>
      </c>
      <c r="BI60" s="895"/>
      <c r="BJ60" s="896">
        <v>0</v>
      </c>
      <c r="BK60" s="897">
        <f t="shared" si="56"/>
        <v>3.0649963689179374</v>
      </c>
      <c r="BL60" s="898">
        <v>1230</v>
      </c>
      <c r="BM60" s="883">
        <f t="shared" si="57"/>
        <v>0.7209872923174443</v>
      </c>
      <c r="BN60" s="894">
        <f t="shared" si="58"/>
        <v>0.6519905636669471</v>
      </c>
      <c r="BO60" s="882">
        <f t="shared" si="59"/>
        <v>0.8999999999999999</v>
      </c>
      <c r="BP60" s="899" t="str">
        <f t="shared" si="60"/>
        <v>OK</v>
      </c>
      <c r="BQ60" s="899" t="str">
        <f t="shared" si="61"/>
        <v>OK</v>
      </c>
    </row>
    <row r="61" spans="2:69" s="548" customFormat="1" ht="9">
      <c r="B61" s="803">
        <v>1</v>
      </c>
      <c r="C61" s="770">
        <f t="shared" si="28"/>
        <v>0.312</v>
      </c>
      <c r="D61" s="551"/>
      <c r="E61" s="863" t="s">
        <v>204</v>
      </c>
      <c r="F61" s="829" t="s">
        <v>184</v>
      </c>
      <c r="G61" s="865" t="s">
        <v>110</v>
      </c>
      <c r="H61" s="865">
        <v>16</v>
      </c>
      <c r="I61" s="700"/>
      <c r="J61" s="831">
        <v>4.71</v>
      </c>
      <c r="K61" s="831">
        <v>12</v>
      </c>
      <c r="L61" s="703">
        <v>0.22</v>
      </c>
      <c r="M61" s="866"/>
      <c r="N61" s="832"/>
      <c r="O61" s="833" t="str">
        <f t="shared" si="29"/>
        <v>NO</v>
      </c>
      <c r="P61" s="714">
        <v>50</v>
      </c>
      <c r="Q61" s="565">
        <v>1.5</v>
      </c>
      <c r="R61" s="714">
        <v>4</v>
      </c>
      <c r="S61" s="831">
        <v>4</v>
      </c>
      <c r="T61" s="714">
        <v>115</v>
      </c>
      <c r="U61" s="866">
        <v>78.75</v>
      </c>
      <c r="V61" s="831">
        <v>19.5</v>
      </c>
      <c r="W61" s="707">
        <f t="shared" si="30"/>
        <v>58.5</v>
      </c>
      <c r="X61" s="708">
        <f t="shared" si="31"/>
        <v>235.5</v>
      </c>
      <c r="Y61" s="709">
        <f t="shared" si="32"/>
        <v>1.1840120663650076</v>
      </c>
      <c r="Z61" s="710">
        <f t="shared" si="33"/>
        <v>166.16869343891403</v>
      </c>
      <c r="AA61" s="711">
        <f t="shared" si="34"/>
        <v>1</v>
      </c>
      <c r="AB61" s="712">
        <f t="shared" si="35"/>
        <v>79.2</v>
      </c>
      <c r="AC61" s="675">
        <v>17.2</v>
      </c>
      <c r="AD61" s="713">
        <f t="shared" si="36"/>
        <v>27.38372093023256</v>
      </c>
      <c r="AE61" s="714">
        <v>30</v>
      </c>
      <c r="AF61" s="714">
        <v>1.6</v>
      </c>
      <c r="AG61" s="866">
        <v>29</v>
      </c>
      <c r="AH61" s="866">
        <v>0</v>
      </c>
      <c r="AI61" s="716">
        <f t="shared" si="37"/>
        <v>413.6875</v>
      </c>
      <c r="AJ61" s="900">
        <v>13404</v>
      </c>
      <c r="AK61" s="866">
        <v>125</v>
      </c>
      <c r="AL61" s="707">
        <f t="shared" si="38"/>
        <v>1</v>
      </c>
      <c r="AM61" s="713">
        <f t="shared" si="39"/>
        <v>820.3125</v>
      </c>
      <c r="AN61" s="870">
        <v>3418</v>
      </c>
      <c r="AO61" s="713">
        <f t="shared" si="40"/>
        <v>3418</v>
      </c>
      <c r="AP61" s="713">
        <f t="shared" si="41"/>
        <v>1808.925</v>
      </c>
      <c r="AQ61" s="713">
        <f t="shared" si="42"/>
        <v>21553.6</v>
      </c>
      <c r="AR61" s="713">
        <f t="shared" si="43"/>
        <v>579.1624999999999</v>
      </c>
      <c r="AS61" s="713">
        <f t="shared" si="43"/>
        <v>18765.6</v>
      </c>
      <c r="AT61" s="870">
        <v>2</v>
      </c>
      <c r="AU61" s="870">
        <v>17.5</v>
      </c>
      <c r="AV61" s="713">
        <f t="shared" si="44"/>
        <v>38.68594871794872</v>
      </c>
      <c r="AW61" s="713">
        <f t="shared" si="45"/>
        <v>21.553600000000003</v>
      </c>
      <c r="AX61" s="713">
        <f t="shared" si="46"/>
        <v>31.6561875</v>
      </c>
      <c r="AY61" s="713">
        <f t="shared" si="47"/>
        <v>85.98046640624999</v>
      </c>
      <c r="AZ61" s="707">
        <f t="shared" si="48"/>
        <v>107.53406640624999</v>
      </c>
      <c r="BA61" s="712">
        <f t="shared" si="49"/>
        <v>36.979993108974355</v>
      </c>
      <c r="BB61" s="718" t="str">
        <f t="shared" si="50"/>
        <v>OK</v>
      </c>
      <c r="BC61" s="719">
        <f t="shared" si="51"/>
        <v>216.8125</v>
      </c>
      <c r="BD61" s="713">
        <f t="shared" si="52"/>
        <v>18.067708333333332</v>
      </c>
      <c r="BE61" s="713">
        <f t="shared" si="53"/>
        <v>820.3125</v>
      </c>
      <c r="BF61" s="713">
        <f t="shared" si="54"/>
        <v>68.359375</v>
      </c>
      <c r="BG61" s="866">
        <v>103</v>
      </c>
      <c r="BH61" s="721">
        <f t="shared" si="55"/>
        <v>34.36383067908654</v>
      </c>
      <c r="BI61" s="676"/>
      <c r="BJ61" s="722">
        <v>0</v>
      </c>
      <c r="BK61" s="723">
        <f t="shared" si="56"/>
        <v>3.407993966817496</v>
      </c>
      <c r="BL61" s="901">
        <v>312</v>
      </c>
      <c r="BM61" s="711">
        <f t="shared" si="57"/>
        <v>0.5995425908369862</v>
      </c>
      <c r="BN61" s="721">
        <f t="shared" si="58"/>
        <v>0.3255415316094113</v>
      </c>
      <c r="BO61" s="710">
        <f t="shared" si="59"/>
        <v>0.65</v>
      </c>
      <c r="BP61" s="718" t="str">
        <f t="shared" si="60"/>
        <v>OK</v>
      </c>
      <c r="BQ61" s="718" t="str">
        <f t="shared" si="61"/>
        <v>OK</v>
      </c>
    </row>
    <row r="62" spans="2:69" s="548" customFormat="1" ht="9.75" thickBot="1">
      <c r="B62" s="769">
        <v>1</v>
      </c>
      <c r="C62" s="770">
        <f t="shared" si="28"/>
        <v>0.312</v>
      </c>
      <c r="D62" s="551"/>
      <c r="E62" s="773" t="s">
        <v>205</v>
      </c>
      <c r="F62" s="847" t="s">
        <v>161</v>
      </c>
      <c r="G62" s="902" t="s">
        <v>110</v>
      </c>
      <c r="H62" s="902">
        <v>16</v>
      </c>
      <c r="I62" s="775"/>
      <c r="J62" s="776">
        <v>4.71</v>
      </c>
      <c r="K62" s="776">
        <v>12</v>
      </c>
      <c r="L62" s="777">
        <v>0.22</v>
      </c>
      <c r="M62" s="903"/>
      <c r="N62" s="811"/>
      <c r="O62" s="825" t="str">
        <f t="shared" si="29"/>
        <v>NO</v>
      </c>
      <c r="P62" s="605">
        <v>50</v>
      </c>
      <c r="Q62" s="666">
        <v>1.5</v>
      </c>
      <c r="R62" s="605">
        <v>4</v>
      </c>
      <c r="S62" s="822">
        <v>4</v>
      </c>
      <c r="T62" s="605">
        <v>115</v>
      </c>
      <c r="U62" s="789">
        <v>78.75</v>
      </c>
      <c r="V62" s="776">
        <v>19.5</v>
      </c>
      <c r="W62" s="792">
        <f t="shared" si="30"/>
        <v>58.5</v>
      </c>
      <c r="X62" s="826">
        <f t="shared" si="31"/>
        <v>235.5</v>
      </c>
      <c r="Y62" s="827">
        <f t="shared" si="32"/>
        <v>1.1840120663650076</v>
      </c>
      <c r="Z62" s="819">
        <f t="shared" si="33"/>
        <v>166.16869343891403</v>
      </c>
      <c r="AA62" s="812">
        <f t="shared" si="34"/>
        <v>1</v>
      </c>
      <c r="AB62" s="813">
        <f t="shared" si="35"/>
        <v>79.2</v>
      </c>
      <c r="AC62" s="666">
        <v>17.2</v>
      </c>
      <c r="AD62" s="788">
        <f t="shared" si="36"/>
        <v>27.38372093023256</v>
      </c>
      <c r="AE62" s="779">
        <v>30</v>
      </c>
      <c r="AF62" s="779">
        <v>1.6</v>
      </c>
      <c r="AG62" s="903">
        <v>29</v>
      </c>
      <c r="AH62" s="903">
        <v>0</v>
      </c>
      <c r="AI62" s="904">
        <f t="shared" si="37"/>
        <v>413.6875</v>
      </c>
      <c r="AJ62" s="905">
        <v>13404</v>
      </c>
      <c r="AK62" s="903">
        <v>125</v>
      </c>
      <c r="AL62" s="782">
        <f t="shared" si="38"/>
        <v>1</v>
      </c>
      <c r="AM62" s="788">
        <f t="shared" si="39"/>
        <v>820.3125</v>
      </c>
      <c r="AN62" s="906">
        <v>3418</v>
      </c>
      <c r="AO62" s="793">
        <f t="shared" si="40"/>
        <v>3418</v>
      </c>
      <c r="AP62" s="788">
        <f t="shared" si="41"/>
        <v>1808.925</v>
      </c>
      <c r="AQ62" s="788">
        <f t="shared" si="42"/>
        <v>21553.6</v>
      </c>
      <c r="AR62" s="788">
        <f t="shared" si="43"/>
        <v>579.1624999999999</v>
      </c>
      <c r="AS62" s="788">
        <f t="shared" si="43"/>
        <v>18765.6</v>
      </c>
      <c r="AT62" s="906">
        <v>2</v>
      </c>
      <c r="AU62" s="906">
        <v>17.5</v>
      </c>
      <c r="AV62" s="793">
        <f t="shared" si="44"/>
        <v>38.68594871794872</v>
      </c>
      <c r="AW62" s="793">
        <f t="shared" si="45"/>
        <v>21.553600000000003</v>
      </c>
      <c r="AX62" s="793">
        <f t="shared" si="46"/>
        <v>31.6561875</v>
      </c>
      <c r="AY62" s="793">
        <f t="shared" si="47"/>
        <v>85.98046640624999</v>
      </c>
      <c r="AZ62" s="792">
        <f t="shared" si="48"/>
        <v>107.53406640624999</v>
      </c>
      <c r="BA62" s="813">
        <f t="shared" si="49"/>
        <v>36.979993108974355</v>
      </c>
      <c r="BB62" s="820" t="str">
        <f t="shared" si="50"/>
        <v>OK</v>
      </c>
      <c r="BC62" s="795">
        <f t="shared" si="51"/>
        <v>216.8125</v>
      </c>
      <c r="BD62" s="788">
        <f t="shared" si="52"/>
        <v>18.067708333333332</v>
      </c>
      <c r="BE62" s="788">
        <f t="shared" si="53"/>
        <v>820.3125</v>
      </c>
      <c r="BF62" s="788">
        <f t="shared" si="54"/>
        <v>68.359375</v>
      </c>
      <c r="BG62" s="903">
        <v>103</v>
      </c>
      <c r="BH62" s="814">
        <f t="shared" si="55"/>
        <v>34.36383067908654</v>
      </c>
      <c r="BI62" s="907"/>
      <c r="BJ62" s="596">
        <v>0</v>
      </c>
      <c r="BK62" s="908">
        <f t="shared" si="56"/>
        <v>3.407993966817496</v>
      </c>
      <c r="BL62" s="817">
        <v>312</v>
      </c>
      <c r="BM62" s="812">
        <f t="shared" si="57"/>
        <v>0.5995425908369862</v>
      </c>
      <c r="BN62" s="814">
        <f t="shared" si="58"/>
        <v>0.3255415316094113</v>
      </c>
      <c r="BO62" s="819">
        <f t="shared" si="59"/>
        <v>0.65</v>
      </c>
      <c r="BP62" s="820" t="str">
        <f t="shared" si="60"/>
        <v>OK</v>
      </c>
      <c r="BQ62" s="820" t="str">
        <f t="shared" si="61"/>
        <v>OK</v>
      </c>
    </row>
    <row r="63" spans="2:69" s="548" customFormat="1" ht="9">
      <c r="B63" s="803">
        <v>1</v>
      </c>
      <c r="C63" s="696">
        <f t="shared" si="28"/>
        <v>0.312</v>
      </c>
      <c r="D63" s="551"/>
      <c r="E63" s="909" t="s">
        <v>175</v>
      </c>
      <c r="F63" s="698" t="s">
        <v>206</v>
      </c>
      <c r="G63" s="699" t="s">
        <v>110</v>
      </c>
      <c r="H63" s="699">
        <v>16</v>
      </c>
      <c r="I63" s="805"/>
      <c r="J63" s="701">
        <v>4.71</v>
      </c>
      <c r="K63" s="701">
        <v>12</v>
      </c>
      <c r="L63" s="702">
        <v>0.22</v>
      </c>
      <c r="M63" s="910"/>
      <c r="N63" s="806"/>
      <c r="O63" s="807" t="str">
        <f t="shared" si="29"/>
        <v>NO</v>
      </c>
      <c r="P63" s="743">
        <v>50</v>
      </c>
      <c r="Q63" s="584">
        <v>1.5</v>
      </c>
      <c r="R63" s="743">
        <v>4</v>
      </c>
      <c r="S63" s="701">
        <v>4</v>
      </c>
      <c r="T63" s="743">
        <v>115</v>
      </c>
      <c r="U63" s="706">
        <v>78.75</v>
      </c>
      <c r="V63" s="701">
        <v>19.5</v>
      </c>
      <c r="W63" s="747">
        <f t="shared" si="30"/>
        <v>58.5</v>
      </c>
      <c r="X63" s="764">
        <f t="shared" si="31"/>
        <v>235.5</v>
      </c>
      <c r="Y63" s="765">
        <f t="shared" si="32"/>
        <v>1.1840120663650076</v>
      </c>
      <c r="Z63" s="739">
        <f t="shared" si="33"/>
        <v>166.16869343891403</v>
      </c>
      <c r="AA63" s="740">
        <f t="shared" si="34"/>
        <v>1</v>
      </c>
      <c r="AB63" s="741">
        <f t="shared" si="35"/>
        <v>79.2</v>
      </c>
      <c r="AC63" s="911">
        <v>17.2</v>
      </c>
      <c r="AD63" s="742">
        <f t="shared" si="36"/>
        <v>27.38372093023256</v>
      </c>
      <c r="AE63" s="743">
        <v>30</v>
      </c>
      <c r="AF63" s="743">
        <v>1.6</v>
      </c>
      <c r="AG63" s="910">
        <v>29</v>
      </c>
      <c r="AH63" s="910">
        <v>0</v>
      </c>
      <c r="AI63" s="912">
        <f t="shared" si="37"/>
        <v>413.6875</v>
      </c>
      <c r="AJ63" s="913">
        <v>13404</v>
      </c>
      <c r="AK63" s="910">
        <v>80</v>
      </c>
      <c r="AL63" s="747">
        <f t="shared" si="38"/>
        <v>1</v>
      </c>
      <c r="AM63" s="742">
        <f t="shared" si="39"/>
        <v>525</v>
      </c>
      <c r="AN63" s="914">
        <v>2188</v>
      </c>
      <c r="AO63" s="742">
        <f t="shared" si="40"/>
        <v>2188</v>
      </c>
      <c r="AP63" s="742">
        <f t="shared" si="41"/>
        <v>1336.425</v>
      </c>
      <c r="AQ63" s="742">
        <f t="shared" si="42"/>
        <v>19585.6</v>
      </c>
      <c r="AR63" s="742">
        <f t="shared" si="43"/>
        <v>579.1624999999999</v>
      </c>
      <c r="AS63" s="742">
        <f t="shared" si="43"/>
        <v>18765.6</v>
      </c>
      <c r="AT63" s="914">
        <v>2</v>
      </c>
      <c r="AU63" s="914">
        <v>17.5</v>
      </c>
      <c r="AV63" s="742">
        <f t="shared" si="44"/>
        <v>35.15364102564102</v>
      </c>
      <c r="AW63" s="742">
        <f t="shared" si="45"/>
        <v>19.5856</v>
      </c>
      <c r="AX63" s="742">
        <f t="shared" si="46"/>
        <v>23.3874375</v>
      </c>
      <c r="AY63" s="742">
        <f t="shared" si="47"/>
        <v>63.52195078124999</v>
      </c>
      <c r="AZ63" s="747">
        <f t="shared" si="48"/>
        <v>83.10755078124998</v>
      </c>
      <c r="BA63" s="741">
        <f t="shared" si="49"/>
        <v>30.60696426282051</v>
      </c>
      <c r="BB63" s="915" t="str">
        <f t="shared" si="50"/>
        <v>OK</v>
      </c>
      <c r="BC63" s="916">
        <f t="shared" si="51"/>
        <v>216.8125</v>
      </c>
      <c r="BD63" s="742">
        <f t="shared" si="52"/>
        <v>18.067708333333332</v>
      </c>
      <c r="BE63" s="742">
        <f t="shared" si="53"/>
        <v>525</v>
      </c>
      <c r="BF63" s="742">
        <f t="shared" si="54"/>
        <v>43.75</v>
      </c>
      <c r="BG63" s="910">
        <v>103</v>
      </c>
      <c r="BH63" s="917">
        <f t="shared" si="55"/>
        <v>34.36383067908654</v>
      </c>
      <c r="BI63" s="918"/>
      <c r="BJ63" s="919">
        <v>0</v>
      </c>
      <c r="BK63" s="920">
        <f t="shared" si="56"/>
        <v>3.407993966817496</v>
      </c>
      <c r="BL63" s="921">
        <v>312</v>
      </c>
      <c r="BM63" s="740">
        <f t="shared" si="57"/>
        <v>0.5995425908369862</v>
      </c>
      <c r="BN63" s="917">
        <f t="shared" si="58"/>
        <v>0.20835087635734417</v>
      </c>
      <c r="BO63" s="739">
        <f t="shared" si="59"/>
        <v>0.65</v>
      </c>
      <c r="BP63" s="915" t="str">
        <f t="shared" si="60"/>
        <v>OK</v>
      </c>
      <c r="BQ63" s="915" t="str">
        <f t="shared" si="61"/>
        <v>OK</v>
      </c>
    </row>
    <row r="64" spans="2:69" s="548" customFormat="1" ht="9.75" thickBot="1">
      <c r="B64" s="769">
        <v>1</v>
      </c>
      <c r="C64" s="846">
        <f t="shared" si="28"/>
        <v>0.312</v>
      </c>
      <c r="D64" s="551"/>
      <c r="E64" s="773" t="s">
        <v>177</v>
      </c>
      <c r="F64" s="595" t="s">
        <v>207</v>
      </c>
      <c r="G64" s="773" t="s">
        <v>110</v>
      </c>
      <c r="H64" s="902">
        <v>16</v>
      </c>
      <c r="I64" s="775"/>
      <c r="J64" s="776">
        <v>4.71</v>
      </c>
      <c r="K64" s="776">
        <v>12</v>
      </c>
      <c r="L64" s="777">
        <v>0.22</v>
      </c>
      <c r="M64" s="903"/>
      <c r="N64" s="811"/>
      <c r="O64" s="825" t="str">
        <f t="shared" si="29"/>
        <v>NO</v>
      </c>
      <c r="P64" s="605">
        <v>50</v>
      </c>
      <c r="Q64" s="666">
        <v>1.5</v>
      </c>
      <c r="R64" s="605">
        <v>4</v>
      </c>
      <c r="S64" s="822">
        <v>4</v>
      </c>
      <c r="T64" s="605">
        <v>115</v>
      </c>
      <c r="U64" s="789">
        <v>78.75</v>
      </c>
      <c r="V64" s="822">
        <v>19.5</v>
      </c>
      <c r="W64" s="792">
        <f t="shared" si="30"/>
        <v>58.5</v>
      </c>
      <c r="X64" s="826">
        <f t="shared" si="31"/>
        <v>235.5</v>
      </c>
      <c r="Y64" s="827">
        <f t="shared" si="32"/>
        <v>1.1840120663650076</v>
      </c>
      <c r="Z64" s="819">
        <f t="shared" si="33"/>
        <v>166.16869343891403</v>
      </c>
      <c r="AA64" s="812">
        <f t="shared" si="34"/>
        <v>1</v>
      </c>
      <c r="AB64" s="813">
        <f t="shared" si="35"/>
        <v>79.2</v>
      </c>
      <c r="AC64" s="666">
        <v>17.2</v>
      </c>
      <c r="AD64" s="788">
        <f t="shared" si="36"/>
        <v>27.38372093023256</v>
      </c>
      <c r="AE64" s="779">
        <v>30</v>
      </c>
      <c r="AF64" s="779">
        <v>1.6</v>
      </c>
      <c r="AG64" s="903">
        <v>29</v>
      </c>
      <c r="AH64" s="903">
        <v>0</v>
      </c>
      <c r="AI64" s="904">
        <f t="shared" si="37"/>
        <v>413.6875</v>
      </c>
      <c r="AJ64" s="905">
        <v>13404</v>
      </c>
      <c r="AK64" s="903">
        <v>80</v>
      </c>
      <c r="AL64" s="782">
        <f t="shared" si="38"/>
        <v>1</v>
      </c>
      <c r="AM64" s="788">
        <f t="shared" si="39"/>
        <v>525</v>
      </c>
      <c r="AN64" s="906">
        <v>2188</v>
      </c>
      <c r="AO64" s="788">
        <f t="shared" si="40"/>
        <v>2188</v>
      </c>
      <c r="AP64" s="788">
        <f t="shared" si="41"/>
        <v>1336.425</v>
      </c>
      <c r="AQ64" s="788">
        <f t="shared" si="42"/>
        <v>19585.6</v>
      </c>
      <c r="AR64" s="788">
        <f t="shared" si="43"/>
        <v>579.1624999999999</v>
      </c>
      <c r="AS64" s="788">
        <f t="shared" si="43"/>
        <v>18765.6</v>
      </c>
      <c r="AT64" s="906">
        <v>2</v>
      </c>
      <c r="AU64" s="906">
        <v>17.5</v>
      </c>
      <c r="AV64" s="793">
        <f t="shared" si="44"/>
        <v>35.15364102564102</v>
      </c>
      <c r="AW64" s="793">
        <f t="shared" si="45"/>
        <v>19.5856</v>
      </c>
      <c r="AX64" s="793">
        <f t="shared" si="46"/>
        <v>23.3874375</v>
      </c>
      <c r="AY64" s="793">
        <f t="shared" si="47"/>
        <v>63.52195078124999</v>
      </c>
      <c r="AZ64" s="792">
        <f t="shared" si="48"/>
        <v>83.10755078124998</v>
      </c>
      <c r="BA64" s="813">
        <f t="shared" si="49"/>
        <v>30.60696426282051</v>
      </c>
      <c r="BB64" s="820" t="str">
        <f t="shared" si="50"/>
        <v>OK</v>
      </c>
      <c r="BC64" s="795">
        <f t="shared" si="51"/>
        <v>216.8125</v>
      </c>
      <c r="BD64" s="788">
        <f t="shared" si="52"/>
        <v>18.067708333333332</v>
      </c>
      <c r="BE64" s="788">
        <f t="shared" si="53"/>
        <v>525</v>
      </c>
      <c r="BF64" s="788">
        <f t="shared" si="54"/>
        <v>43.75</v>
      </c>
      <c r="BG64" s="903">
        <v>103</v>
      </c>
      <c r="BH64" s="797">
        <f t="shared" si="55"/>
        <v>34.36383067908654</v>
      </c>
      <c r="BI64" s="907"/>
      <c r="BJ64" s="596">
        <v>0</v>
      </c>
      <c r="BK64" s="908">
        <f t="shared" si="56"/>
        <v>3.407993966817496</v>
      </c>
      <c r="BL64" s="800">
        <v>312</v>
      </c>
      <c r="BM64" s="812">
        <f t="shared" si="57"/>
        <v>0.5995425908369862</v>
      </c>
      <c r="BN64" s="814">
        <f t="shared" si="58"/>
        <v>0.20835087635734417</v>
      </c>
      <c r="BO64" s="819">
        <f t="shared" si="59"/>
        <v>0.65</v>
      </c>
      <c r="BP64" s="820" t="str">
        <f t="shared" si="60"/>
        <v>OK</v>
      </c>
      <c r="BQ64" s="820" t="str">
        <f t="shared" si="61"/>
        <v>OK</v>
      </c>
    </row>
    <row r="65" spans="3:10" s="548" customFormat="1" ht="9">
      <c r="C65" s="659"/>
      <c r="E65" s="665"/>
      <c r="F65" s="665"/>
      <c r="J65" s="656"/>
    </row>
    <row r="66" spans="2:58" s="548" customFormat="1" ht="9.75" thickBot="1">
      <c r="B66" s="580"/>
      <c r="C66" s="647"/>
      <c r="E66" s="660"/>
      <c r="F66" s="661" t="s">
        <v>120</v>
      </c>
      <c r="G66" s="662"/>
      <c r="H66" s="662"/>
      <c r="I66" s="663" t="s">
        <v>121</v>
      </c>
      <c r="J66" s="663"/>
      <c r="K66" s="664" t="s">
        <v>122</v>
      </c>
      <c r="L66" s="655"/>
      <c r="R66" s="652"/>
      <c r="U66" s="656"/>
      <c r="V66" s="656"/>
      <c r="AP66" s="580"/>
      <c r="BF66" s="580"/>
    </row>
    <row r="67" spans="2:21" s="548" customFormat="1" ht="9.75" thickTop="1">
      <c r="B67" s="580"/>
      <c r="C67" s="647"/>
      <c r="E67" s="652"/>
      <c r="F67" s="665"/>
      <c r="H67" s="548" t="s">
        <v>21</v>
      </c>
      <c r="J67" s="645"/>
      <c r="K67" s="655"/>
      <c r="L67" s="655"/>
      <c r="R67" s="652"/>
      <c r="U67" s="656"/>
    </row>
    <row r="68" spans="1:21" s="548" customFormat="1" ht="9">
      <c r="A68" s="668"/>
      <c r="B68" s="580"/>
      <c r="C68" s="647"/>
      <c r="E68" s="660"/>
      <c r="J68" s="580"/>
      <c r="K68" s="579"/>
      <c r="L68" s="580"/>
      <c r="M68" s="580"/>
      <c r="N68" s="580"/>
      <c r="O68" s="580"/>
      <c r="P68" s="580"/>
      <c r="Q68" s="580"/>
      <c r="R68" s="580"/>
      <c r="S68" s="580"/>
      <c r="T68" s="580"/>
      <c r="U68" s="648"/>
    </row>
    <row r="69" spans="2:43" s="548" customFormat="1" ht="9.75" thickBot="1">
      <c r="B69" s="666"/>
      <c r="C69" s="659"/>
      <c r="D69" s="666"/>
      <c r="E69" s="667"/>
      <c r="F69" s="667"/>
      <c r="G69" s="666"/>
      <c r="H69" s="666"/>
      <c r="I69" s="666"/>
      <c r="J69" s="922"/>
      <c r="K69" s="666"/>
      <c r="L69" s="666"/>
      <c r="M69" s="666"/>
      <c r="N69" s="666"/>
      <c r="O69" s="666"/>
      <c r="P69" s="666"/>
      <c r="Q69" s="666"/>
      <c r="R69" s="666"/>
      <c r="S69" s="666"/>
      <c r="T69" s="666"/>
      <c r="U69" s="666"/>
      <c r="V69" s="666"/>
      <c r="W69" s="666"/>
      <c r="X69" s="666"/>
      <c r="Y69" s="666"/>
      <c r="Z69" s="666"/>
      <c r="AA69" s="666"/>
      <c r="AB69" s="666"/>
      <c r="AC69" s="666"/>
      <c r="AD69" s="666"/>
      <c r="AE69" s="666"/>
      <c r="AF69" s="666"/>
      <c r="AG69" s="666"/>
      <c r="AH69" s="666"/>
      <c r="AI69" s="666"/>
      <c r="AJ69" s="666"/>
      <c r="AK69" s="666"/>
      <c r="AL69" s="666"/>
      <c r="AM69" s="666"/>
      <c r="AN69" s="666"/>
      <c r="AO69" s="666"/>
      <c r="AP69" s="666"/>
      <c r="AQ69" s="666"/>
    </row>
    <row r="70" spans="2:58" s="548" customFormat="1" ht="9.75" thickBot="1">
      <c r="B70" s="669"/>
      <c r="C70" s="670"/>
      <c r="D70" s="551"/>
      <c r="E70" s="923" t="s">
        <v>211</v>
      </c>
      <c r="F70" s="924" t="s">
        <v>212</v>
      </c>
      <c r="G70" s="666"/>
      <c r="H70" s="666"/>
      <c r="I70" s="925"/>
      <c r="J70" s="666"/>
      <c r="K70" s="922"/>
      <c r="L70" s="666"/>
      <c r="M70" s="922"/>
      <c r="N70" s="926"/>
      <c r="O70" s="666"/>
      <c r="P70" s="666"/>
      <c r="Q70" s="666"/>
      <c r="R70" s="666"/>
      <c r="S70" s="666"/>
      <c r="T70" s="666"/>
      <c r="U70" s="666"/>
      <c r="V70" s="666"/>
      <c r="W70" s="666"/>
      <c r="X70" s="666"/>
      <c r="Y70" s="907"/>
      <c r="AE70" s="666"/>
      <c r="AF70" s="666"/>
      <c r="AG70" s="666"/>
      <c r="AH70" s="666"/>
      <c r="AI70" s="666"/>
      <c r="AJ70" s="666"/>
      <c r="AK70" s="666"/>
      <c r="AL70" s="666"/>
      <c r="AM70" s="666"/>
      <c r="AN70" s="666"/>
      <c r="AQ70" s="907"/>
      <c r="AR70" s="554"/>
      <c r="AS70" s="554"/>
      <c r="AT70" s="554"/>
      <c r="AU70" s="554"/>
      <c r="AV70" s="554"/>
      <c r="AW70" s="554"/>
      <c r="AX70" s="554"/>
      <c r="AY70" s="554"/>
      <c r="AZ70" s="554"/>
      <c r="BA70" s="554"/>
      <c r="BB70" s="554"/>
      <c r="BC70" s="554"/>
      <c r="BD70" s="554"/>
      <c r="BE70" s="554"/>
      <c r="BF70" s="556"/>
    </row>
    <row r="71" spans="2:58" s="548" customFormat="1" ht="9">
      <c r="B71" s="557" t="s">
        <v>244</v>
      </c>
      <c r="C71" s="558" t="s">
        <v>56</v>
      </c>
      <c r="D71" s="551"/>
      <c r="E71" s="559" t="s">
        <v>213</v>
      </c>
      <c r="F71" s="560" t="s">
        <v>214</v>
      </c>
      <c r="G71" s="561" t="s">
        <v>58</v>
      </c>
      <c r="H71" s="561"/>
      <c r="I71" s="673"/>
      <c r="J71" s="561"/>
      <c r="K71" s="561"/>
      <c r="L71" s="561"/>
      <c r="M71" s="852"/>
      <c r="N71" s="853"/>
      <c r="O71" s="561"/>
      <c r="P71" s="562"/>
      <c r="Q71" s="563" t="s">
        <v>34</v>
      </c>
      <c r="R71" s="564"/>
      <c r="S71" s="565" t="s">
        <v>61</v>
      </c>
      <c r="T71" s="566"/>
      <c r="U71" s="567" t="s">
        <v>25</v>
      </c>
      <c r="V71" s="568"/>
      <c r="W71" s="568"/>
      <c r="X71" s="571" t="s">
        <v>49</v>
      </c>
      <c r="Y71" s="569"/>
      <c r="Z71" s="674"/>
      <c r="AA71" s="675" t="s">
        <v>96</v>
      </c>
      <c r="AB71" s="676"/>
      <c r="AC71" s="563" t="s">
        <v>17</v>
      </c>
      <c r="AD71" s="568"/>
      <c r="AE71" s="575" t="s">
        <v>7</v>
      </c>
      <c r="AF71" s="575" t="s">
        <v>7</v>
      </c>
      <c r="AG71" s="677" t="s">
        <v>7</v>
      </c>
      <c r="AH71" s="571" t="s">
        <v>7</v>
      </c>
      <c r="AI71" s="575" t="s">
        <v>7</v>
      </c>
      <c r="AJ71" s="678" t="s">
        <v>8</v>
      </c>
      <c r="AK71" s="679" t="s">
        <v>8</v>
      </c>
      <c r="AL71" s="680" t="s">
        <v>8</v>
      </c>
      <c r="AM71" s="680" t="s">
        <v>97</v>
      </c>
      <c r="AN71" s="588" t="s">
        <v>98</v>
      </c>
      <c r="AO71" s="562"/>
      <c r="AP71" s="569"/>
      <c r="AQ71" s="681" t="s">
        <v>50</v>
      </c>
      <c r="AR71" s="574" t="s">
        <v>7</v>
      </c>
      <c r="AS71" s="571" t="s">
        <v>7</v>
      </c>
      <c r="AT71" s="575" t="s">
        <v>8</v>
      </c>
      <c r="AU71" s="575" t="s">
        <v>8</v>
      </c>
      <c r="AV71" s="574" t="s">
        <v>34</v>
      </c>
      <c r="AW71" s="578" t="s">
        <v>14</v>
      </c>
      <c r="AX71" s="578" t="s">
        <v>51</v>
      </c>
      <c r="AY71" s="575" t="s">
        <v>9</v>
      </c>
      <c r="AZ71" s="575" t="s">
        <v>10</v>
      </c>
      <c r="BA71" s="577" t="s">
        <v>29</v>
      </c>
      <c r="BB71" s="574" t="s">
        <v>41</v>
      </c>
      <c r="BC71" s="578" t="s">
        <v>42</v>
      </c>
      <c r="BD71" s="590" t="s">
        <v>99</v>
      </c>
      <c r="BE71" s="682" t="s">
        <v>7</v>
      </c>
      <c r="BF71" s="560" t="s">
        <v>8</v>
      </c>
    </row>
    <row r="72" spans="2:58" s="548" customFormat="1" ht="9">
      <c r="B72" s="570"/>
      <c r="C72" s="583"/>
      <c r="D72" s="551"/>
      <c r="E72" s="559"/>
      <c r="F72" s="582"/>
      <c r="G72" s="584"/>
      <c r="H72" s="584"/>
      <c r="I72" s="683"/>
      <c r="J72" s="584"/>
      <c r="K72" s="584"/>
      <c r="L72" s="584"/>
      <c r="M72" s="857"/>
      <c r="N72" s="858"/>
      <c r="O72" s="584"/>
      <c r="P72" s="585"/>
      <c r="Q72" s="571" t="s">
        <v>1</v>
      </c>
      <c r="R72" s="586"/>
      <c r="S72" s="587" t="s">
        <v>62</v>
      </c>
      <c r="T72" s="587" t="s">
        <v>63</v>
      </c>
      <c r="U72" s="588" t="s">
        <v>26</v>
      </c>
      <c r="V72" s="589"/>
      <c r="W72" s="589"/>
      <c r="Y72" s="572"/>
      <c r="Z72" s="578" t="s">
        <v>51</v>
      </c>
      <c r="AA72" s="684" t="s">
        <v>74</v>
      </c>
      <c r="AB72" s="578" t="s">
        <v>52</v>
      </c>
      <c r="AC72" s="571" t="s">
        <v>18</v>
      </c>
      <c r="AD72" s="575" t="s">
        <v>30</v>
      </c>
      <c r="AE72" s="575" t="s">
        <v>70</v>
      </c>
      <c r="AF72" s="575" t="s">
        <v>34</v>
      </c>
      <c r="AG72" s="575" t="s">
        <v>61</v>
      </c>
      <c r="AH72" s="679" t="s">
        <v>87</v>
      </c>
      <c r="AI72" s="575" t="s">
        <v>62</v>
      </c>
      <c r="AJ72" s="579"/>
      <c r="AK72" s="679" t="s">
        <v>67</v>
      </c>
      <c r="AL72" s="680" t="s">
        <v>81</v>
      </c>
      <c r="AM72" s="680" t="s">
        <v>15</v>
      </c>
      <c r="AN72" s="588"/>
      <c r="AO72" s="574" t="s">
        <v>14</v>
      </c>
      <c r="AP72" s="577" t="s">
        <v>36</v>
      </c>
      <c r="AQ72" s="582" t="s">
        <v>37</v>
      </c>
      <c r="AR72" s="574" t="s">
        <v>85</v>
      </c>
      <c r="AS72" s="580"/>
      <c r="AT72" s="589"/>
      <c r="AU72" s="589"/>
      <c r="AV72" s="574" t="s">
        <v>33</v>
      </c>
      <c r="AW72" s="577" t="s">
        <v>85</v>
      </c>
      <c r="AX72" s="576" t="s">
        <v>34</v>
      </c>
      <c r="AY72" s="579"/>
      <c r="AZ72" s="580"/>
      <c r="BA72" s="577" t="s">
        <v>46</v>
      </c>
      <c r="BB72" s="574" t="s">
        <v>13</v>
      </c>
      <c r="BC72" s="578"/>
      <c r="BD72" s="551"/>
      <c r="BE72" s="581" t="s">
        <v>39</v>
      </c>
      <c r="BF72" s="582" t="s">
        <v>39</v>
      </c>
    </row>
    <row r="73" spans="2:58" s="548" customFormat="1" ht="9">
      <c r="B73" s="570"/>
      <c r="C73" s="583"/>
      <c r="D73" s="551"/>
      <c r="E73" s="559"/>
      <c r="F73" s="582"/>
      <c r="G73" s="591" t="s">
        <v>59</v>
      </c>
      <c r="H73" s="579" t="s">
        <v>56</v>
      </c>
      <c r="I73" s="685" t="s">
        <v>88</v>
      </c>
      <c r="J73" s="575" t="s">
        <v>47</v>
      </c>
      <c r="K73" s="575" t="s">
        <v>0</v>
      </c>
      <c r="L73" s="575" t="s">
        <v>2</v>
      </c>
      <c r="M73" s="680" t="s">
        <v>90</v>
      </c>
      <c r="N73" s="860" t="s">
        <v>285</v>
      </c>
      <c r="O73" s="575" t="s">
        <v>95</v>
      </c>
      <c r="P73" s="575" t="s">
        <v>3</v>
      </c>
      <c r="Q73" s="571" t="s">
        <v>19</v>
      </c>
      <c r="R73" s="575" t="s">
        <v>4</v>
      </c>
      <c r="S73" s="575" t="s">
        <v>19</v>
      </c>
      <c r="T73" s="575" t="s">
        <v>56</v>
      </c>
      <c r="U73" s="588" t="s">
        <v>16</v>
      </c>
      <c r="V73" s="575" t="s">
        <v>21</v>
      </c>
      <c r="W73" s="575" t="s">
        <v>48</v>
      </c>
      <c r="X73" s="571" t="s">
        <v>6</v>
      </c>
      <c r="Y73" s="577" t="s">
        <v>5</v>
      </c>
      <c r="Z73" s="578" t="s">
        <v>53</v>
      </c>
      <c r="AA73" s="573"/>
      <c r="AB73" s="578"/>
      <c r="AC73" s="571" t="s">
        <v>32</v>
      </c>
      <c r="AD73" s="575" t="s">
        <v>31</v>
      </c>
      <c r="AE73" s="575" t="s">
        <v>71</v>
      </c>
      <c r="AF73" s="575" t="s">
        <v>72</v>
      </c>
      <c r="AG73" s="575"/>
      <c r="AH73" s="679" t="s">
        <v>86</v>
      </c>
      <c r="AI73" s="575"/>
      <c r="AJ73" s="589"/>
      <c r="AK73" s="679" t="s">
        <v>27</v>
      </c>
      <c r="AL73" s="680" t="s">
        <v>82</v>
      </c>
      <c r="AM73" s="575" t="s">
        <v>83</v>
      </c>
      <c r="AN73" s="574" t="s">
        <v>83</v>
      </c>
      <c r="AO73" s="574"/>
      <c r="AP73" s="577"/>
      <c r="AQ73" s="578" t="s">
        <v>54</v>
      </c>
      <c r="AR73" s="686"/>
      <c r="AS73" s="589"/>
      <c r="AT73" s="589"/>
      <c r="AU73" s="589"/>
      <c r="AV73" s="589"/>
      <c r="AW73" s="572"/>
      <c r="AX73" s="576" t="s">
        <v>84</v>
      </c>
      <c r="AY73" s="579"/>
      <c r="AZ73" s="589"/>
      <c r="BA73" s="551"/>
      <c r="BB73" s="579"/>
      <c r="BC73" s="572"/>
      <c r="BD73" s="570"/>
      <c r="BE73" s="570"/>
      <c r="BF73" s="570"/>
    </row>
    <row r="74" spans="2:58" s="548" customFormat="1" ht="9.75" thickBot="1">
      <c r="B74" s="592"/>
      <c r="C74" s="952" t="s">
        <v>246</v>
      </c>
      <c r="D74" s="551"/>
      <c r="E74" s="594"/>
      <c r="F74" s="595"/>
      <c r="G74" s="596" t="s">
        <v>60</v>
      </c>
      <c r="H74" s="596" t="s">
        <v>11</v>
      </c>
      <c r="I74" s="687"/>
      <c r="J74" s="597" t="s">
        <v>43</v>
      </c>
      <c r="K74" s="597" t="s">
        <v>40</v>
      </c>
      <c r="L74" s="597" t="s">
        <v>40</v>
      </c>
      <c r="M74" s="688"/>
      <c r="N74" s="861"/>
      <c r="O74" s="597"/>
      <c r="P74" s="597" t="s">
        <v>44</v>
      </c>
      <c r="Q74" s="598" t="s">
        <v>40</v>
      </c>
      <c r="R74" s="597" t="s">
        <v>44</v>
      </c>
      <c r="S74" s="597" t="s">
        <v>40</v>
      </c>
      <c r="T74" s="597" t="s">
        <v>57</v>
      </c>
      <c r="U74" s="599" t="s">
        <v>40</v>
      </c>
      <c r="V74" s="597" t="s">
        <v>12</v>
      </c>
      <c r="W74" s="597" t="s">
        <v>40</v>
      </c>
      <c r="X74" s="598" t="s">
        <v>35</v>
      </c>
      <c r="Y74" s="600" t="s">
        <v>40</v>
      </c>
      <c r="Z74" s="578" t="s">
        <v>45</v>
      </c>
      <c r="AA74" s="573"/>
      <c r="AB74" s="577" t="s">
        <v>35</v>
      </c>
      <c r="AC74" s="571" t="s">
        <v>24</v>
      </c>
      <c r="AD74" s="575" t="s">
        <v>22</v>
      </c>
      <c r="AE74" s="575" t="s">
        <v>28</v>
      </c>
      <c r="AF74" s="575" t="s">
        <v>28</v>
      </c>
      <c r="AG74" s="574" t="s">
        <v>28</v>
      </c>
      <c r="AH74" s="574" t="s">
        <v>11</v>
      </c>
      <c r="AI74" s="575" t="s">
        <v>11</v>
      </c>
      <c r="AJ74" s="678" t="s">
        <v>28</v>
      </c>
      <c r="AK74" s="589"/>
      <c r="AL74" s="680" t="s">
        <v>11</v>
      </c>
      <c r="AM74" s="862" t="s">
        <v>11</v>
      </c>
      <c r="AN74" s="927" t="s">
        <v>11</v>
      </c>
      <c r="AO74" s="574" t="s">
        <v>45</v>
      </c>
      <c r="AP74" s="577" t="s">
        <v>35</v>
      </c>
      <c r="AQ74" s="590" t="s">
        <v>23</v>
      </c>
      <c r="AR74" s="691" t="s">
        <v>11</v>
      </c>
      <c r="AS74" s="692" t="s">
        <v>20</v>
      </c>
      <c r="AT74" s="693" t="s">
        <v>11</v>
      </c>
      <c r="AU74" s="693" t="s">
        <v>20</v>
      </c>
      <c r="AV74" s="607" t="s">
        <v>38</v>
      </c>
      <c r="AW74" s="601" t="s">
        <v>45</v>
      </c>
      <c r="AX74" s="601" t="s">
        <v>45</v>
      </c>
      <c r="AY74" s="597" t="s">
        <v>40</v>
      </c>
      <c r="AZ74" s="597" t="s">
        <v>40</v>
      </c>
      <c r="BA74" s="606" t="s">
        <v>38</v>
      </c>
      <c r="BB74" s="604" t="s">
        <v>40</v>
      </c>
      <c r="BC74" s="601" t="s">
        <v>40</v>
      </c>
      <c r="BD74" s="694" t="s">
        <v>40</v>
      </c>
      <c r="BE74" s="608" t="s">
        <v>23</v>
      </c>
      <c r="BF74" s="608" t="s">
        <v>23</v>
      </c>
    </row>
    <row r="75" spans="2:58" s="548" customFormat="1" ht="9">
      <c r="B75" s="675">
        <v>7</v>
      </c>
      <c r="C75" s="696">
        <f>B75*V75*$H75/1000</f>
        <v>1.47</v>
      </c>
      <c r="D75" s="551"/>
      <c r="E75" s="863" t="s">
        <v>267</v>
      </c>
      <c r="F75" s="864" t="s">
        <v>257</v>
      </c>
      <c r="G75" s="699" t="s">
        <v>73</v>
      </c>
      <c r="H75" s="865">
        <v>12</v>
      </c>
      <c r="I75" s="700"/>
      <c r="J75" s="831">
        <v>3.54</v>
      </c>
      <c r="K75" s="831">
        <v>9.87</v>
      </c>
      <c r="L75" s="703">
        <v>0.19</v>
      </c>
      <c r="M75" s="866"/>
      <c r="N75" s="832"/>
      <c r="O75" s="704" t="str">
        <f aca="true" t="shared" si="62" ref="O75:O87">IF(M75&lt;1.1*((N75*29000)/P75)^0.5,1,"NO")</f>
        <v>NO</v>
      </c>
      <c r="P75" s="568">
        <v>50</v>
      </c>
      <c r="Q75" s="561">
        <v>1.5</v>
      </c>
      <c r="R75" s="568">
        <v>4</v>
      </c>
      <c r="S75" s="705">
        <v>4</v>
      </c>
      <c r="T75" s="568">
        <v>115</v>
      </c>
      <c r="U75" s="715">
        <v>75</v>
      </c>
      <c r="V75" s="831">
        <v>17.5</v>
      </c>
      <c r="W75" s="707">
        <f aca="true" t="shared" si="63" ref="W75:W87">MIN((V75/4)*12,U75)</f>
        <v>52.5</v>
      </c>
      <c r="X75" s="708">
        <f aca="true" t="shared" si="64" ref="X75:X87">J75*P75</f>
        <v>177</v>
      </c>
      <c r="Y75" s="709">
        <f aca="true" t="shared" si="65" ref="Y75:Y87">(J75*P75)/(0.85*R75*W75)</f>
        <v>0.9915966386554622</v>
      </c>
      <c r="Z75" s="710">
        <f aca="true" t="shared" si="66" ref="Z75:Z87">(0.9*((J75*P75*(K75/2))+(0.85*R75*Y75*W75*(S75-(Y75/2)))))/12</f>
        <v>112.03040231092437</v>
      </c>
      <c r="AA75" s="711">
        <f aca="true" t="shared" si="67" ref="AA75:AA87">IF(I75="v",0.9,1)</f>
        <v>1</v>
      </c>
      <c r="AB75" s="837">
        <f aca="true" t="shared" si="68" ref="AB75:AB87">IF(O75="NO",AA75*0.6*P75*K75*L75,AA75*0.6*P75*K75*L75*O75)</f>
        <v>56.25899999999999</v>
      </c>
      <c r="AC75" s="561">
        <v>17.2</v>
      </c>
      <c r="AD75" s="838">
        <f aca="true" t="shared" si="69" ref="AD75:AD87">(X75/AC75)*2</f>
        <v>20.58139534883721</v>
      </c>
      <c r="AE75" s="568">
        <v>30</v>
      </c>
      <c r="AF75" s="568">
        <v>1.6</v>
      </c>
      <c r="AG75" s="839">
        <v>29</v>
      </c>
      <c r="AH75" s="839">
        <v>0</v>
      </c>
      <c r="AI75" s="840">
        <f aca="true" t="shared" si="70" ref="AI75:AI87">((AE75+AG75+AF75)*(U75/12))+H75+AH75</f>
        <v>390.75</v>
      </c>
      <c r="AJ75" s="715">
        <v>80</v>
      </c>
      <c r="AK75" s="707">
        <f aca="true" t="shared" si="71" ref="AK75:AK87">IF(0.25+(15/($E$6*V75*(U75/12))^0.5)&gt;0.5,IF(0.25+(15/($E$6*V75*(U75/12))^0.5)&gt;1,1,0.25+(15/($E$6*V75*(U75/12))^0.5)),0.5)</f>
        <v>1</v>
      </c>
      <c r="AL75" s="838">
        <f aca="true" t="shared" si="72" ref="AL75:AL87">(AJ75*AK75)*(U75/12)</f>
        <v>500</v>
      </c>
      <c r="AM75" s="838">
        <f aca="true" t="shared" si="73" ref="AM75:AM87">(1.2*AI75)+(1.6*AL75)</f>
        <v>1268.9</v>
      </c>
      <c r="AN75" s="838">
        <f aca="true" t="shared" si="74" ref="AN75:AN87">1.4*AI75</f>
        <v>547.05</v>
      </c>
      <c r="AO75" s="928">
        <f aca="true" t="shared" si="75" ref="AO75:AO87">MAX((AN75*V75*V75)/8000,(AM75*V75*V75)/8000)</f>
        <v>48.575078125</v>
      </c>
      <c r="AP75" s="712">
        <f aca="true" t="shared" si="76" ref="AP75:AP87">MAX(AN75*V75/2000,AM75*V75/2000)</f>
        <v>11.102875</v>
      </c>
      <c r="AQ75" s="718" t="str">
        <f aca="true" t="shared" si="77" ref="AQ75:AQ87">IF(AND(Z75&gt;AO75,AB75&gt;AP75),"OK","NG")</f>
        <v>OK</v>
      </c>
      <c r="AR75" s="719">
        <f aca="true" t="shared" si="78" ref="AR75:AR87">((AF75+AG75)*(U75/12))+H75</f>
        <v>203.25</v>
      </c>
      <c r="AS75" s="871">
        <f aca="true" t="shared" si="79" ref="AS75:AS87">AR75/12</f>
        <v>16.9375</v>
      </c>
      <c r="AT75" s="838">
        <f aca="true" t="shared" si="80" ref="AT75:AT87">AJ75*(U75/12)</f>
        <v>500</v>
      </c>
      <c r="AU75" s="838">
        <f aca="true" t="shared" si="81" ref="AU75:AU87">AT75/12</f>
        <v>41.666666666666664</v>
      </c>
      <c r="AV75" s="746">
        <v>53.8</v>
      </c>
      <c r="AW75" s="721">
        <f aca="true" t="shared" si="82" ref="AW75:AW87">(AR75*V75*V75)/8000</f>
        <v>7.7806640625</v>
      </c>
      <c r="AX75" s="695">
        <v>46.9</v>
      </c>
      <c r="AY75" s="722">
        <v>0</v>
      </c>
      <c r="AZ75" s="872">
        <f>S75-Y75/2</f>
        <v>3.504201680672269</v>
      </c>
      <c r="BA75" s="755">
        <v>180</v>
      </c>
      <c r="BB75" s="711">
        <f aca="true" t="shared" si="83" ref="BB75:BB87">(5*(AS75)*((V75*12)^4))/(384*29000000*AV75)</f>
        <v>0.2749064904789851</v>
      </c>
      <c r="BC75" s="721">
        <f aca="true" t="shared" si="84" ref="BC75:BC87">(5*(AU75)*((V75*12)^4))/(384*29000000*BA75)</f>
        <v>0.2021316002155172</v>
      </c>
      <c r="BD75" s="710">
        <f aca="true" t="shared" si="85" ref="BD75:BD87">(V75/360)*12</f>
        <v>0.5833333333333334</v>
      </c>
      <c r="BE75" s="718" t="str">
        <f aca="true" t="shared" si="86" ref="BE75:BE87">IF(BB75&gt;BD75,"NG","OK")</f>
        <v>OK</v>
      </c>
      <c r="BF75" s="718" t="str">
        <f aca="true" t="shared" si="87" ref="BF75:BF87">IF(BC75&gt;BD75,"NG","OK")</f>
        <v>OK</v>
      </c>
    </row>
    <row r="76" spans="2:58" s="548" customFormat="1" ht="9.75" thickBot="1">
      <c r="B76" s="987">
        <v>9</v>
      </c>
      <c r="C76" s="846">
        <f>B76*V76*$H76/1000</f>
        <v>2.106</v>
      </c>
      <c r="D76" s="551"/>
      <c r="E76" s="929" t="s">
        <v>256</v>
      </c>
      <c r="F76" s="698" t="s">
        <v>258</v>
      </c>
      <c r="G76" s="930" t="s">
        <v>73</v>
      </c>
      <c r="H76" s="930">
        <v>12</v>
      </c>
      <c r="I76" s="729"/>
      <c r="J76" s="735">
        <v>3.54</v>
      </c>
      <c r="K76" s="735">
        <v>9.87</v>
      </c>
      <c r="L76" s="730">
        <v>0.19</v>
      </c>
      <c r="M76" s="931"/>
      <c r="N76" s="844"/>
      <c r="O76" s="761" t="str">
        <f t="shared" si="62"/>
        <v>NO</v>
      </c>
      <c r="P76" s="762">
        <v>50</v>
      </c>
      <c r="Q76" s="763">
        <v>1.5</v>
      </c>
      <c r="R76" s="762">
        <v>4</v>
      </c>
      <c r="S76" s="735">
        <v>4</v>
      </c>
      <c r="T76" s="762">
        <v>115</v>
      </c>
      <c r="U76" s="746">
        <v>82.5</v>
      </c>
      <c r="V76" s="735">
        <v>19.5</v>
      </c>
      <c r="W76" s="736">
        <f t="shared" si="63"/>
        <v>58.5</v>
      </c>
      <c r="X76" s="843">
        <f t="shared" si="64"/>
        <v>177</v>
      </c>
      <c r="Y76" s="738">
        <f t="shared" si="65"/>
        <v>0.889894419306184</v>
      </c>
      <c r="Z76" s="739">
        <f t="shared" si="66"/>
        <v>112.70545079185518</v>
      </c>
      <c r="AA76" s="740">
        <f t="shared" si="67"/>
        <v>1</v>
      </c>
      <c r="AB76" s="717">
        <f t="shared" si="68"/>
        <v>56.25899999999999</v>
      </c>
      <c r="AC76" s="932">
        <v>17.2</v>
      </c>
      <c r="AD76" s="751">
        <f t="shared" si="69"/>
        <v>20.58139534883721</v>
      </c>
      <c r="AE76" s="762">
        <v>30</v>
      </c>
      <c r="AF76" s="762">
        <v>1.6</v>
      </c>
      <c r="AG76" s="931">
        <v>29</v>
      </c>
      <c r="AH76" s="931">
        <v>0</v>
      </c>
      <c r="AI76" s="768">
        <f t="shared" si="70"/>
        <v>428.625</v>
      </c>
      <c r="AJ76" s="746">
        <v>80</v>
      </c>
      <c r="AK76" s="747">
        <f t="shared" si="71"/>
        <v>1</v>
      </c>
      <c r="AL76" s="751">
        <f t="shared" si="72"/>
        <v>550</v>
      </c>
      <c r="AM76" s="751">
        <f t="shared" si="73"/>
        <v>1394.35</v>
      </c>
      <c r="AN76" s="751">
        <f t="shared" si="74"/>
        <v>600.0749999999999</v>
      </c>
      <c r="AO76" s="736">
        <f t="shared" si="75"/>
        <v>66.2751984375</v>
      </c>
      <c r="AP76" s="717">
        <f t="shared" si="76"/>
        <v>13.594912499999998</v>
      </c>
      <c r="AQ76" s="748" t="str">
        <f t="shared" si="77"/>
        <v>OK</v>
      </c>
      <c r="AR76" s="916">
        <f t="shared" si="78"/>
        <v>222.375</v>
      </c>
      <c r="AS76" s="751">
        <f t="shared" si="79"/>
        <v>18.53125</v>
      </c>
      <c r="AT76" s="751">
        <f t="shared" si="80"/>
        <v>550</v>
      </c>
      <c r="AU76" s="751">
        <f t="shared" si="81"/>
        <v>45.833333333333336</v>
      </c>
      <c r="AV76" s="706">
        <v>53.8</v>
      </c>
      <c r="AW76" s="752">
        <f t="shared" si="82"/>
        <v>10.56976171875</v>
      </c>
      <c r="AX76" s="726">
        <v>46.9</v>
      </c>
      <c r="AY76" s="753">
        <v>0</v>
      </c>
      <c r="AZ76" s="933">
        <f>S76-Y76/2</f>
        <v>3.555052790346908</v>
      </c>
      <c r="BA76" s="755">
        <v>180</v>
      </c>
      <c r="BB76" s="767">
        <f t="shared" si="83"/>
        <v>0.4636888481219355</v>
      </c>
      <c r="BC76" s="752">
        <f t="shared" si="84"/>
        <v>0.34277816540948275</v>
      </c>
      <c r="BD76" s="739">
        <f t="shared" si="85"/>
        <v>0.65</v>
      </c>
      <c r="BE76" s="915" t="str">
        <f t="shared" si="86"/>
        <v>OK</v>
      </c>
      <c r="BF76" s="915" t="str">
        <f t="shared" si="87"/>
        <v>OK</v>
      </c>
    </row>
    <row r="77" spans="1:58" s="548" customFormat="1" ht="9">
      <c r="A77" s="668"/>
      <c r="B77" s="911">
        <v>3</v>
      </c>
      <c r="C77" s="696">
        <f>B77*V77*$H77/1000</f>
        <v>0.63</v>
      </c>
      <c r="D77" s="551"/>
      <c r="E77" s="929" t="s">
        <v>269</v>
      </c>
      <c r="F77" s="759" t="s">
        <v>216</v>
      </c>
      <c r="G77" s="930" t="s">
        <v>73</v>
      </c>
      <c r="H77" s="930">
        <v>12</v>
      </c>
      <c r="I77" s="729"/>
      <c r="J77" s="735">
        <v>3.54</v>
      </c>
      <c r="K77" s="735">
        <v>9.87</v>
      </c>
      <c r="L77" s="730">
        <v>0.19</v>
      </c>
      <c r="M77" s="931"/>
      <c r="N77" s="844"/>
      <c r="O77" s="761" t="str">
        <f t="shared" si="62"/>
        <v>NO</v>
      </c>
      <c r="P77" s="762">
        <v>50</v>
      </c>
      <c r="Q77" s="763">
        <v>1.5</v>
      </c>
      <c r="R77" s="762">
        <v>4</v>
      </c>
      <c r="S77" s="735">
        <v>4</v>
      </c>
      <c r="T77" s="762">
        <v>115</v>
      </c>
      <c r="U77" s="746">
        <v>75</v>
      </c>
      <c r="V77" s="735">
        <v>17.5</v>
      </c>
      <c r="W77" s="736">
        <f t="shared" si="63"/>
        <v>52.5</v>
      </c>
      <c r="X77" s="843">
        <f t="shared" si="64"/>
        <v>177</v>
      </c>
      <c r="Y77" s="738">
        <f t="shared" si="65"/>
        <v>0.9915966386554622</v>
      </c>
      <c r="Z77" s="739">
        <f t="shared" si="66"/>
        <v>112.03040231092437</v>
      </c>
      <c r="AA77" s="740">
        <f t="shared" si="67"/>
        <v>1</v>
      </c>
      <c r="AB77" s="717">
        <f t="shared" si="68"/>
        <v>56.25899999999999</v>
      </c>
      <c r="AC77" s="932">
        <v>17.2</v>
      </c>
      <c r="AD77" s="751">
        <f t="shared" si="69"/>
        <v>20.58139534883721</v>
      </c>
      <c r="AE77" s="762">
        <v>30</v>
      </c>
      <c r="AF77" s="762">
        <v>1.6</v>
      </c>
      <c r="AG77" s="931">
        <v>29</v>
      </c>
      <c r="AH77" s="931">
        <v>0</v>
      </c>
      <c r="AI77" s="768">
        <f t="shared" si="70"/>
        <v>390.75</v>
      </c>
      <c r="AJ77" s="746">
        <v>125</v>
      </c>
      <c r="AK77" s="747">
        <f t="shared" si="71"/>
        <v>1</v>
      </c>
      <c r="AL77" s="751">
        <f t="shared" si="72"/>
        <v>781.25</v>
      </c>
      <c r="AM77" s="751">
        <f t="shared" si="73"/>
        <v>1718.9</v>
      </c>
      <c r="AN77" s="751">
        <f t="shared" si="74"/>
        <v>547.05</v>
      </c>
      <c r="AO77" s="736">
        <f t="shared" si="75"/>
        <v>65.801640625</v>
      </c>
      <c r="AP77" s="717">
        <f t="shared" si="76"/>
        <v>15.040375</v>
      </c>
      <c r="AQ77" s="748" t="str">
        <f t="shared" si="77"/>
        <v>OK</v>
      </c>
      <c r="AR77" s="749">
        <f t="shared" si="78"/>
        <v>203.25</v>
      </c>
      <c r="AS77" s="751">
        <f t="shared" si="79"/>
        <v>16.9375</v>
      </c>
      <c r="AT77" s="742">
        <f t="shared" si="80"/>
        <v>781.25</v>
      </c>
      <c r="AU77" s="742">
        <f t="shared" si="81"/>
        <v>65.10416666666667</v>
      </c>
      <c r="AV77" s="706">
        <v>53.8</v>
      </c>
      <c r="AW77" s="752">
        <f t="shared" si="82"/>
        <v>7.7806640625</v>
      </c>
      <c r="AX77" s="726">
        <v>46.9</v>
      </c>
      <c r="AY77" s="753">
        <v>0</v>
      </c>
      <c r="AZ77" s="933">
        <f>S77-Y77/2</f>
        <v>3.504201680672269</v>
      </c>
      <c r="BA77" s="755">
        <v>180</v>
      </c>
      <c r="BB77" s="740">
        <f t="shared" si="83"/>
        <v>0.2749064904789851</v>
      </c>
      <c r="BC77" s="917">
        <f t="shared" si="84"/>
        <v>0.3158306253367458</v>
      </c>
      <c r="BD77" s="739">
        <f t="shared" si="85"/>
        <v>0.5833333333333334</v>
      </c>
      <c r="BE77" s="915" t="str">
        <f t="shared" si="86"/>
        <v>OK</v>
      </c>
      <c r="BF77" s="915" t="str">
        <f t="shared" si="87"/>
        <v>OK</v>
      </c>
    </row>
    <row r="78" spans="2:58" s="548" customFormat="1" ht="9.75" thickBot="1">
      <c r="B78" s="911">
        <v>7</v>
      </c>
      <c r="C78" s="727">
        <f>B78*V78*$H78/1000</f>
        <v>1.638</v>
      </c>
      <c r="D78" s="551"/>
      <c r="E78" s="594" t="s">
        <v>268</v>
      </c>
      <c r="F78" s="772" t="s">
        <v>217</v>
      </c>
      <c r="G78" s="773" t="s">
        <v>73</v>
      </c>
      <c r="H78" s="774">
        <v>12</v>
      </c>
      <c r="I78" s="775"/>
      <c r="J78" s="776">
        <v>3.54</v>
      </c>
      <c r="K78" s="776">
        <v>9.87</v>
      </c>
      <c r="L78" s="777">
        <v>0.19</v>
      </c>
      <c r="M78" s="903"/>
      <c r="N78" s="811"/>
      <c r="O78" s="778" t="str">
        <f t="shared" si="62"/>
        <v>NO</v>
      </c>
      <c r="P78" s="779">
        <v>50</v>
      </c>
      <c r="Q78" s="780">
        <v>1.5</v>
      </c>
      <c r="R78" s="779">
        <v>4</v>
      </c>
      <c r="S78" s="776">
        <v>4</v>
      </c>
      <c r="T78" s="779">
        <v>115</v>
      </c>
      <c r="U78" s="781">
        <v>82.5</v>
      </c>
      <c r="V78" s="776">
        <v>19.5</v>
      </c>
      <c r="W78" s="782">
        <f t="shared" si="63"/>
        <v>58.5</v>
      </c>
      <c r="X78" s="934">
        <f t="shared" si="64"/>
        <v>177</v>
      </c>
      <c r="Y78" s="935">
        <f t="shared" si="65"/>
        <v>0.889894419306184</v>
      </c>
      <c r="Z78" s="819">
        <f t="shared" si="66"/>
        <v>112.70545079185518</v>
      </c>
      <c r="AA78" s="812">
        <f t="shared" si="67"/>
        <v>1</v>
      </c>
      <c r="AB78" s="813">
        <f t="shared" si="68"/>
        <v>56.25899999999999</v>
      </c>
      <c r="AC78" s="666">
        <v>17.2</v>
      </c>
      <c r="AD78" s="793">
        <f t="shared" si="69"/>
        <v>20.58139534883721</v>
      </c>
      <c r="AE78" s="605">
        <v>30</v>
      </c>
      <c r="AF78" s="605">
        <v>1.6</v>
      </c>
      <c r="AG78" s="789">
        <v>29</v>
      </c>
      <c r="AH78" s="789">
        <v>0</v>
      </c>
      <c r="AI78" s="791">
        <f t="shared" si="70"/>
        <v>428.625</v>
      </c>
      <c r="AJ78" s="789">
        <v>125</v>
      </c>
      <c r="AK78" s="890">
        <f t="shared" si="71"/>
        <v>1</v>
      </c>
      <c r="AL78" s="793">
        <f t="shared" si="72"/>
        <v>859.375</v>
      </c>
      <c r="AM78" s="793">
        <f t="shared" si="73"/>
        <v>1889.35</v>
      </c>
      <c r="AN78" s="793">
        <f t="shared" si="74"/>
        <v>600.0749999999999</v>
      </c>
      <c r="AO78" s="792">
        <f t="shared" si="75"/>
        <v>89.8031671875</v>
      </c>
      <c r="AP78" s="787">
        <f t="shared" si="76"/>
        <v>18.421162499999998</v>
      </c>
      <c r="AQ78" s="820" t="str">
        <f t="shared" si="77"/>
        <v>OK</v>
      </c>
      <c r="AR78" s="916">
        <f t="shared" si="78"/>
        <v>222.375</v>
      </c>
      <c r="AS78" s="936">
        <f t="shared" si="79"/>
        <v>18.53125</v>
      </c>
      <c r="AT78" s="742">
        <f t="shared" si="80"/>
        <v>859.375</v>
      </c>
      <c r="AU78" s="742">
        <f t="shared" si="81"/>
        <v>71.61458333333333</v>
      </c>
      <c r="AV78" s="746">
        <v>53.8</v>
      </c>
      <c r="AW78" s="917">
        <f t="shared" si="82"/>
        <v>10.56976171875</v>
      </c>
      <c r="AX78" s="726">
        <v>46.9</v>
      </c>
      <c r="AY78" s="919">
        <v>0</v>
      </c>
      <c r="AZ78" s="920">
        <f>S78-Y78/2</f>
        <v>3.555052790346908</v>
      </c>
      <c r="BA78" s="755">
        <v>180</v>
      </c>
      <c r="BB78" s="937">
        <f t="shared" si="83"/>
        <v>0.4636888481219355</v>
      </c>
      <c r="BC78" s="917">
        <f t="shared" si="84"/>
        <v>0.5355908834523168</v>
      </c>
      <c r="BD78" s="739">
        <f t="shared" si="85"/>
        <v>0.65</v>
      </c>
      <c r="BE78" s="915" t="str">
        <f t="shared" si="86"/>
        <v>OK</v>
      </c>
      <c r="BF78" s="915" t="str">
        <f t="shared" si="87"/>
        <v>OK</v>
      </c>
    </row>
    <row r="79" spans="2:58" s="548" customFormat="1" ht="9.75" thickBot="1">
      <c r="B79" s="987">
        <v>3</v>
      </c>
      <c r="C79" s="846">
        <f aca="true" t="shared" si="88" ref="C79:C87">B79*V79*$H79/1000</f>
        <v>1.32</v>
      </c>
      <c r="D79" s="551"/>
      <c r="E79" s="938" t="s">
        <v>271</v>
      </c>
      <c r="F79" s="560">
        <v>2</v>
      </c>
      <c r="G79" s="699" t="s">
        <v>219</v>
      </c>
      <c r="H79" s="699">
        <v>16</v>
      </c>
      <c r="I79" s="805"/>
      <c r="J79" s="701">
        <v>4.71</v>
      </c>
      <c r="K79" s="701">
        <v>12</v>
      </c>
      <c r="L79" s="702">
        <v>0.22</v>
      </c>
      <c r="M79" s="910"/>
      <c r="N79" s="806"/>
      <c r="O79" s="842" t="str">
        <f t="shared" si="62"/>
        <v>NO</v>
      </c>
      <c r="P79" s="589">
        <v>50</v>
      </c>
      <c r="Q79" s="580">
        <v>1.5</v>
      </c>
      <c r="R79" s="589">
        <v>4</v>
      </c>
      <c r="S79" s="834">
        <v>4</v>
      </c>
      <c r="T79" s="589">
        <v>115</v>
      </c>
      <c r="U79" s="706">
        <v>75</v>
      </c>
      <c r="V79" s="701">
        <v>27.5</v>
      </c>
      <c r="W79" s="747">
        <f t="shared" si="63"/>
        <v>75</v>
      </c>
      <c r="X79" s="708">
        <f t="shared" si="64"/>
        <v>235.5</v>
      </c>
      <c r="Y79" s="709">
        <f t="shared" si="65"/>
        <v>0.9235294117647059</v>
      </c>
      <c r="Z79" s="710">
        <f t="shared" si="66"/>
        <v>168.46908088235293</v>
      </c>
      <c r="AA79" s="711">
        <f t="shared" si="67"/>
        <v>1</v>
      </c>
      <c r="AB79" s="837">
        <f t="shared" si="68"/>
        <v>79.2</v>
      </c>
      <c r="AC79" s="561">
        <v>17.2</v>
      </c>
      <c r="AD79" s="838">
        <f t="shared" si="69"/>
        <v>27.38372093023256</v>
      </c>
      <c r="AE79" s="568">
        <v>30</v>
      </c>
      <c r="AF79" s="568">
        <v>1.6</v>
      </c>
      <c r="AG79" s="839">
        <v>29</v>
      </c>
      <c r="AH79" s="839">
        <v>0</v>
      </c>
      <c r="AI79" s="840">
        <f t="shared" si="70"/>
        <v>394.75</v>
      </c>
      <c r="AJ79" s="715">
        <v>80</v>
      </c>
      <c r="AK79" s="707">
        <f t="shared" si="71"/>
        <v>1</v>
      </c>
      <c r="AL79" s="838">
        <f t="shared" si="72"/>
        <v>500</v>
      </c>
      <c r="AM79" s="838">
        <f t="shared" si="73"/>
        <v>1273.7</v>
      </c>
      <c r="AN79" s="838">
        <f t="shared" si="74"/>
        <v>552.65</v>
      </c>
      <c r="AO79" s="928">
        <f t="shared" si="75"/>
        <v>120.404453125</v>
      </c>
      <c r="AP79" s="712">
        <f t="shared" si="76"/>
        <v>17.513375</v>
      </c>
      <c r="AQ79" s="718" t="str">
        <f t="shared" si="77"/>
        <v>OK</v>
      </c>
      <c r="AR79" s="719">
        <f t="shared" si="78"/>
        <v>207.25</v>
      </c>
      <c r="AS79" s="939">
        <f t="shared" si="79"/>
        <v>17.270833333333332</v>
      </c>
      <c r="AT79" s="838">
        <f t="shared" si="80"/>
        <v>500</v>
      </c>
      <c r="AU79" s="838">
        <f t="shared" si="81"/>
        <v>41.666666666666664</v>
      </c>
      <c r="AV79" s="715">
        <v>103</v>
      </c>
      <c r="AW79" s="721">
        <f t="shared" si="82"/>
        <v>19.5916015625</v>
      </c>
      <c r="AX79" s="695">
        <v>75.4</v>
      </c>
      <c r="AY79" s="566">
        <v>0</v>
      </c>
      <c r="AZ79" s="872">
        <f aca="true" t="shared" si="89" ref="AZ79:AZ87">S79-Y79/2</f>
        <v>3.538235294117647</v>
      </c>
      <c r="BA79" s="724">
        <v>317</v>
      </c>
      <c r="BB79" s="711">
        <f t="shared" si="83"/>
        <v>0.8928378850670613</v>
      </c>
      <c r="BC79" s="721">
        <f t="shared" si="84"/>
        <v>0.6998839555232242</v>
      </c>
      <c r="BD79" s="710">
        <f t="shared" si="85"/>
        <v>0.9166666666666667</v>
      </c>
      <c r="BE79" s="718" t="str">
        <f t="shared" si="86"/>
        <v>OK</v>
      </c>
      <c r="BF79" s="718" t="str">
        <f t="shared" si="87"/>
        <v>OK</v>
      </c>
    </row>
    <row r="80" spans="1:58" s="548" customFormat="1" ht="9">
      <c r="A80" s="668"/>
      <c r="B80" s="911">
        <v>9</v>
      </c>
      <c r="C80" s="696">
        <f t="shared" si="88"/>
        <v>3.96</v>
      </c>
      <c r="D80" s="551"/>
      <c r="E80" s="929" t="s">
        <v>271</v>
      </c>
      <c r="F80" s="940" t="s">
        <v>215</v>
      </c>
      <c r="G80" s="874" t="s">
        <v>219</v>
      </c>
      <c r="H80" s="874">
        <v>16</v>
      </c>
      <c r="I80" s="729"/>
      <c r="J80" s="733">
        <v>4.71</v>
      </c>
      <c r="K80" s="733">
        <v>12</v>
      </c>
      <c r="L80" s="876">
        <v>0.22</v>
      </c>
      <c r="M80" s="931"/>
      <c r="N80" s="844"/>
      <c r="O80" s="761" t="str">
        <f t="shared" si="62"/>
        <v>NO</v>
      </c>
      <c r="P80" s="762">
        <v>50</v>
      </c>
      <c r="Q80" s="763">
        <v>1.5</v>
      </c>
      <c r="R80" s="762">
        <v>4</v>
      </c>
      <c r="S80" s="735">
        <v>4</v>
      </c>
      <c r="T80" s="762">
        <v>115</v>
      </c>
      <c r="U80" s="746">
        <v>82.5</v>
      </c>
      <c r="V80" s="701">
        <v>27.5</v>
      </c>
      <c r="W80" s="736">
        <f t="shared" si="63"/>
        <v>82.5</v>
      </c>
      <c r="X80" s="843">
        <f t="shared" si="64"/>
        <v>235.5</v>
      </c>
      <c r="Y80" s="738">
        <f t="shared" si="65"/>
        <v>0.839572192513369</v>
      </c>
      <c r="Z80" s="739">
        <f t="shared" si="66"/>
        <v>169.21052807486632</v>
      </c>
      <c r="AA80" s="740">
        <f t="shared" si="67"/>
        <v>1</v>
      </c>
      <c r="AB80" s="717">
        <f t="shared" si="68"/>
        <v>79.2</v>
      </c>
      <c r="AC80" s="932">
        <v>17.2</v>
      </c>
      <c r="AD80" s="751">
        <f t="shared" si="69"/>
        <v>27.38372093023256</v>
      </c>
      <c r="AE80" s="762">
        <v>30</v>
      </c>
      <c r="AF80" s="762">
        <v>1.6</v>
      </c>
      <c r="AG80" s="931">
        <v>29</v>
      </c>
      <c r="AH80" s="931">
        <v>0</v>
      </c>
      <c r="AI80" s="768">
        <f t="shared" si="70"/>
        <v>432.625</v>
      </c>
      <c r="AJ80" s="746">
        <v>80</v>
      </c>
      <c r="AK80" s="747">
        <f t="shared" si="71"/>
        <v>1</v>
      </c>
      <c r="AL80" s="751">
        <f t="shared" si="72"/>
        <v>550</v>
      </c>
      <c r="AM80" s="751">
        <f t="shared" si="73"/>
        <v>1399.15</v>
      </c>
      <c r="AN80" s="751">
        <f t="shared" si="74"/>
        <v>605.675</v>
      </c>
      <c r="AO80" s="736">
        <f t="shared" si="75"/>
        <v>132.2633984375</v>
      </c>
      <c r="AP80" s="717">
        <f t="shared" si="76"/>
        <v>19.2383125</v>
      </c>
      <c r="AQ80" s="748" t="str">
        <f t="shared" si="77"/>
        <v>OK</v>
      </c>
      <c r="AR80" s="749">
        <f t="shared" si="78"/>
        <v>226.375</v>
      </c>
      <c r="AS80" s="845">
        <f t="shared" si="79"/>
        <v>18.864583333333332</v>
      </c>
      <c r="AT80" s="751">
        <f t="shared" si="80"/>
        <v>550</v>
      </c>
      <c r="AU80" s="751">
        <f t="shared" si="81"/>
        <v>45.833333333333336</v>
      </c>
      <c r="AV80" s="706">
        <v>103</v>
      </c>
      <c r="AW80" s="752">
        <f t="shared" si="82"/>
        <v>21.39951171875</v>
      </c>
      <c r="AX80" s="726">
        <v>75.4</v>
      </c>
      <c r="AY80" s="585">
        <v>0</v>
      </c>
      <c r="AZ80" s="933">
        <f t="shared" si="89"/>
        <v>3.5802139037433154</v>
      </c>
      <c r="BA80" s="941">
        <v>317</v>
      </c>
      <c r="BB80" s="767">
        <f t="shared" si="83"/>
        <v>0.9752288358603427</v>
      </c>
      <c r="BC80" s="752">
        <f t="shared" si="84"/>
        <v>0.7698723510755466</v>
      </c>
      <c r="BD80" s="757">
        <f t="shared" si="85"/>
        <v>0.9166666666666667</v>
      </c>
      <c r="BE80" s="748" t="str">
        <f t="shared" si="86"/>
        <v>NG</v>
      </c>
      <c r="BF80" s="748" t="str">
        <f t="shared" si="87"/>
        <v>OK</v>
      </c>
    </row>
    <row r="81" spans="1:58" s="668" customFormat="1" ht="9">
      <c r="A81" s="548"/>
      <c r="B81" s="986">
        <v>8</v>
      </c>
      <c r="C81" s="727">
        <f t="shared" si="88"/>
        <v>3.52</v>
      </c>
      <c r="D81" s="942"/>
      <c r="E81" s="929" t="s">
        <v>272</v>
      </c>
      <c r="F81" s="582">
        <v>5</v>
      </c>
      <c r="G81" s="873" t="s">
        <v>219</v>
      </c>
      <c r="H81" s="874">
        <v>16</v>
      </c>
      <c r="I81" s="729"/>
      <c r="J81" s="733">
        <v>4.71</v>
      </c>
      <c r="K81" s="733">
        <v>12</v>
      </c>
      <c r="L81" s="876">
        <v>0.22</v>
      </c>
      <c r="M81" s="931"/>
      <c r="N81" s="844"/>
      <c r="O81" s="807" t="str">
        <f t="shared" si="62"/>
        <v>NO</v>
      </c>
      <c r="P81" s="743">
        <v>50</v>
      </c>
      <c r="Q81" s="584">
        <v>1.5</v>
      </c>
      <c r="R81" s="743">
        <v>4</v>
      </c>
      <c r="S81" s="701">
        <v>4</v>
      </c>
      <c r="T81" s="743">
        <v>115</v>
      </c>
      <c r="U81" s="706">
        <v>75</v>
      </c>
      <c r="V81" s="733">
        <v>27.5</v>
      </c>
      <c r="W81" s="736">
        <f t="shared" si="63"/>
        <v>75</v>
      </c>
      <c r="X81" s="843">
        <f t="shared" si="64"/>
        <v>235.5</v>
      </c>
      <c r="Y81" s="738">
        <f t="shared" si="65"/>
        <v>0.9235294117647059</v>
      </c>
      <c r="Z81" s="739">
        <f t="shared" si="66"/>
        <v>168.46908088235293</v>
      </c>
      <c r="AA81" s="740">
        <f t="shared" si="67"/>
        <v>1</v>
      </c>
      <c r="AB81" s="717">
        <f t="shared" si="68"/>
        <v>79.2</v>
      </c>
      <c r="AC81" s="932">
        <v>17.2</v>
      </c>
      <c r="AD81" s="751">
        <f t="shared" si="69"/>
        <v>27.38372093023256</v>
      </c>
      <c r="AE81" s="762">
        <v>30</v>
      </c>
      <c r="AF81" s="762">
        <v>1.6</v>
      </c>
      <c r="AG81" s="931">
        <v>29</v>
      </c>
      <c r="AH81" s="931">
        <v>0</v>
      </c>
      <c r="AI81" s="768">
        <f t="shared" si="70"/>
        <v>394.75</v>
      </c>
      <c r="AJ81" s="931">
        <v>80</v>
      </c>
      <c r="AK81" s="747">
        <f t="shared" si="71"/>
        <v>1</v>
      </c>
      <c r="AL81" s="751">
        <f t="shared" si="72"/>
        <v>500</v>
      </c>
      <c r="AM81" s="751">
        <f t="shared" si="73"/>
        <v>1273.7</v>
      </c>
      <c r="AN81" s="751">
        <f t="shared" si="74"/>
        <v>552.65</v>
      </c>
      <c r="AO81" s="736">
        <f t="shared" si="75"/>
        <v>120.404453125</v>
      </c>
      <c r="AP81" s="717">
        <f t="shared" si="76"/>
        <v>17.513375</v>
      </c>
      <c r="AQ81" s="748" t="str">
        <f t="shared" si="77"/>
        <v>OK</v>
      </c>
      <c r="AR81" s="749">
        <f t="shared" si="78"/>
        <v>207.25</v>
      </c>
      <c r="AS81" s="751">
        <f t="shared" si="79"/>
        <v>17.270833333333332</v>
      </c>
      <c r="AT81" s="742">
        <f t="shared" si="80"/>
        <v>500</v>
      </c>
      <c r="AU81" s="742">
        <f t="shared" si="81"/>
        <v>41.666666666666664</v>
      </c>
      <c r="AV81" s="746">
        <v>103</v>
      </c>
      <c r="AW81" s="752">
        <f t="shared" si="82"/>
        <v>19.5916015625</v>
      </c>
      <c r="AX81" s="726">
        <v>75.4</v>
      </c>
      <c r="AY81" s="932">
        <v>0</v>
      </c>
      <c r="AZ81" s="943">
        <f t="shared" si="89"/>
        <v>3.538235294117647</v>
      </c>
      <c r="BA81" s="755">
        <v>317</v>
      </c>
      <c r="BB81" s="767">
        <f t="shared" si="83"/>
        <v>0.8928378850670613</v>
      </c>
      <c r="BC81" s="752">
        <f t="shared" si="84"/>
        <v>0.6998839555232242</v>
      </c>
      <c r="BD81" s="757">
        <f t="shared" si="85"/>
        <v>0.9166666666666667</v>
      </c>
      <c r="BE81" s="748" t="str">
        <f t="shared" si="86"/>
        <v>OK</v>
      </c>
      <c r="BF81" s="748" t="str">
        <f t="shared" si="87"/>
        <v>OK</v>
      </c>
    </row>
    <row r="82" spans="2:58" s="548" customFormat="1" ht="9.75" thickBot="1">
      <c r="B82" s="947">
        <v>3</v>
      </c>
      <c r="C82" s="846">
        <f t="shared" si="88"/>
        <v>1.5675</v>
      </c>
      <c r="D82" s="551"/>
      <c r="E82" s="645" t="s">
        <v>270</v>
      </c>
      <c r="F82" s="944" t="s">
        <v>216</v>
      </c>
      <c r="G82" s="873" t="s">
        <v>219</v>
      </c>
      <c r="H82" s="874">
        <v>19</v>
      </c>
      <c r="I82" s="805"/>
      <c r="J82" s="733">
        <v>5.57</v>
      </c>
      <c r="K82" s="733">
        <v>12.2</v>
      </c>
      <c r="L82" s="876">
        <v>0.235</v>
      </c>
      <c r="M82" s="931"/>
      <c r="N82" s="844"/>
      <c r="O82" s="807" t="str">
        <f t="shared" si="62"/>
        <v>NO</v>
      </c>
      <c r="P82" s="743">
        <v>50</v>
      </c>
      <c r="Q82" s="584">
        <v>1.5</v>
      </c>
      <c r="R82" s="743">
        <v>4</v>
      </c>
      <c r="S82" s="701">
        <v>4</v>
      </c>
      <c r="T82" s="743">
        <v>115</v>
      </c>
      <c r="U82" s="744">
        <v>75</v>
      </c>
      <c r="V82" s="733">
        <v>27.5</v>
      </c>
      <c r="W82" s="736">
        <f t="shared" si="63"/>
        <v>75</v>
      </c>
      <c r="X82" s="843">
        <f t="shared" si="64"/>
        <v>278.5</v>
      </c>
      <c r="Y82" s="738">
        <f t="shared" si="65"/>
        <v>1.092156862745098</v>
      </c>
      <c r="Z82" s="757">
        <f t="shared" si="66"/>
        <v>199.55753676470587</v>
      </c>
      <c r="AA82" s="767">
        <f t="shared" si="67"/>
        <v>1</v>
      </c>
      <c r="AB82" s="717">
        <f t="shared" si="68"/>
        <v>86.00999999999999</v>
      </c>
      <c r="AC82" s="932">
        <v>17.2</v>
      </c>
      <c r="AD82" s="751">
        <f t="shared" si="69"/>
        <v>32.383720930232556</v>
      </c>
      <c r="AE82" s="762">
        <v>30</v>
      </c>
      <c r="AF82" s="762">
        <v>1.6</v>
      </c>
      <c r="AG82" s="931">
        <v>29</v>
      </c>
      <c r="AH82" s="931">
        <v>0</v>
      </c>
      <c r="AI82" s="768">
        <f t="shared" si="70"/>
        <v>397.75</v>
      </c>
      <c r="AJ82" s="910">
        <v>125</v>
      </c>
      <c r="AK82" s="747">
        <f t="shared" si="71"/>
        <v>1</v>
      </c>
      <c r="AL82" s="751">
        <f t="shared" si="72"/>
        <v>781.25</v>
      </c>
      <c r="AM82" s="751">
        <f t="shared" si="73"/>
        <v>1727.3</v>
      </c>
      <c r="AN82" s="751">
        <f t="shared" si="74"/>
        <v>556.8499999999999</v>
      </c>
      <c r="AO82" s="736">
        <f t="shared" si="75"/>
        <v>163.283828125</v>
      </c>
      <c r="AP82" s="717">
        <f t="shared" si="76"/>
        <v>23.750375</v>
      </c>
      <c r="AQ82" s="748" t="str">
        <f t="shared" si="77"/>
        <v>OK</v>
      </c>
      <c r="AR82" s="916">
        <f t="shared" si="78"/>
        <v>210.25</v>
      </c>
      <c r="AS82" s="945">
        <f t="shared" si="79"/>
        <v>17.520833333333332</v>
      </c>
      <c r="AT82" s="742">
        <f t="shared" si="80"/>
        <v>781.25</v>
      </c>
      <c r="AU82" s="742">
        <f t="shared" si="81"/>
        <v>65.10416666666667</v>
      </c>
      <c r="AV82" s="746">
        <v>130</v>
      </c>
      <c r="AW82" s="752">
        <f t="shared" si="82"/>
        <v>19.8751953125</v>
      </c>
      <c r="AX82" s="726">
        <v>92.6</v>
      </c>
      <c r="AY82" s="932">
        <v>0</v>
      </c>
      <c r="AZ82" s="933">
        <f t="shared" si="89"/>
        <v>3.453921568627451</v>
      </c>
      <c r="BA82" s="755">
        <v>383</v>
      </c>
      <c r="BB82" s="767">
        <f t="shared" si="83"/>
        <v>0.7176421649639422</v>
      </c>
      <c r="BC82" s="752">
        <f t="shared" si="84"/>
        <v>0.9051208138905927</v>
      </c>
      <c r="BD82" s="757">
        <f t="shared" si="85"/>
        <v>0.9166666666666667</v>
      </c>
      <c r="BE82" s="748" t="str">
        <f t="shared" si="86"/>
        <v>OK</v>
      </c>
      <c r="BF82" s="748" t="str">
        <f t="shared" si="87"/>
        <v>OK</v>
      </c>
    </row>
    <row r="83" spans="1:58" s="548" customFormat="1" ht="9.75" thickBot="1">
      <c r="A83" s="551"/>
      <c r="B83" s="669">
        <v>9</v>
      </c>
      <c r="C83" s="609">
        <f t="shared" si="88"/>
        <v>5.445</v>
      </c>
      <c r="D83" s="551"/>
      <c r="E83" s="594" t="s">
        <v>270</v>
      </c>
      <c r="F83" s="667" t="s">
        <v>217</v>
      </c>
      <c r="G83" s="773" t="s">
        <v>219</v>
      </c>
      <c r="H83" s="902">
        <v>22</v>
      </c>
      <c r="I83" s="805"/>
      <c r="J83" s="776">
        <v>6.48</v>
      </c>
      <c r="K83" s="776">
        <v>12.3</v>
      </c>
      <c r="L83" s="777">
        <v>0.26</v>
      </c>
      <c r="M83" s="931"/>
      <c r="N83" s="844"/>
      <c r="O83" s="842" t="str">
        <f t="shared" si="62"/>
        <v>NO</v>
      </c>
      <c r="P83" s="589">
        <v>50</v>
      </c>
      <c r="Q83" s="580">
        <v>1.5</v>
      </c>
      <c r="R83" s="589">
        <v>4</v>
      </c>
      <c r="S83" s="834">
        <v>4</v>
      </c>
      <c r="T83" s="589">
        <v>115</v>
      </c>
      <c r="U83" s="781">
        <v>82.5</v>
      </c>
      <c r="V83" s="776">
        <v>27.5</v>
      </c>
      <c r="W83" s="747">
        <f t="shared" si="63"/>
        <v>82.5</v>
      </c>
      <c r="X83" s="764">
        <f t="shared" si="64"/>
        <v>324</v>
      </c>
      <c r="Y83" s="765">
        <f t="shared" si="65"/>
        <v>1.1550802139037433</v>
      </c>
      <c r="Z83" s="819">
        <f t="shared" si="66"/>
        <v>232.61077540106953</v>
      </c>
      <c r="AA83" s="812">
        <f t="shared" si="67"/>
        <v>1</v>
      </c>
      <c r="AB83" s="813">
        <f t="shared" si="68"/>
        <v>95.94</v>
      </c>
      <c r="AC83" s="666">
        <v>17.2</v>
      </c>
      <c r="AD83" s="793">
        <f t="shared" si="69"/>
        <v>37.674418604651166</v>
      </c>
      <c r="AE83" s="605">
        <v>30</v>
      </c>
      <c r="AF83" s="605">
        <v>1.6</v>
      </c>
      <c r="AG83" s="789">
        <v>29</v>
      </c>
      <c r="AH83" s="789">
        <v>0</v>
      </c>
      <c r="AI83" s="791">
        <f t="shared" si="70"/>
        <v>438.625</v>
      </c>
      <c r="AJ83" s="789">
        <v>125</v>
      </c>
      <c r="AK83" s="890">
        <f t="shared" si="71"/>
        <v>1</v>
      </c>
      <c r="AL83" s="793">
        <f t="shared" si="72"/>
        <v>859.375</v>
      </c>
      <c r="AM83" s="793">
        <f t="shared" si="73"/>
        <v>1901.35</v>
      </c>
      <c r="AN83" s="793">
        <f t="shared" si="74"/>
        <v>614.0749999999999</v>
      </c>
      <c r="AO83" s="792">
        <f t="shared" si="75"/>
        <v>179.7369921875</v>
      </c>
      <c r="AP83" s="787">
        <f t="shared" si="76"/>
        <v>26.1435625</v>
      </c>
      <c r="AQ83" s="820" t="str">
        <f t="shared" si="77"/>
        <v>OK</v>
      </c>
      <c r="AR83" s="916">
        <f t="shared" si="78"/>
        <v>232.375</v>
      </c>
      <c r="AS83" s="936">
        <f t="shared" si="79"/>
        <v>19.364583333333332</v>
      </c>
      <c r="AT83" s="742">
        <f t="shared" si="80"/>
        <v>859.375</v>
      </c>
      <c r="AU83" s="742">
        <f t="shared" si="81"/>
        <v>71.61458333333333</v>
      </c>
      <c r="AV83" s="789">
        <v>156</v>
      </c>
      <c r="AW83" s="917">
        <f t="shared" si="82"/>
        <v>21.96669921875</v>
      </c>
      <c r="AX83" s="592">
        <v>92.6</v>
      </c>
      <c r="AY83" s="596">
        <v>0</v>
      </c>
      <c r="AZ83" s="920">
        <f t="shared" si="89"/>
        <v>3.4224598930481283</v>
      </c>
      <c r="BA83" s="817">
        <v>453</v>
      </c>
      <c r="BB83" s="937">
        <f t="shared" si="83"/>
        <v>0.6609674914129849</v>
      </c>
      <c r="BC83" s="917">
        <f t="shared" si="84"/>
        <v>0.8417823375101692</v>
      </c>
      <c r="BD83" s="739">
        <f t="shared" si="85"/>
        <v>0.9166666666666667</v>
      </c>
      <c r="BE83" s="915" t="str">
        <f t="shared" si="86"/>
        <v>OK</v>
      </c>
      <c r="BF83" s="915" t="str">
        <f t="shared" si="87"/>
        <v>OK</v>
      </c>
    </row>
    <row r="84" spans="1:58" s="548" customFormat="1" ht="9">
      <c r="A84" s="551"/>
      <c r="B84" s="580">
        <v>3</v>
      </c>
      <c r="C84" s="696">
        <f t="shared" si="88"/>
        <v>0.72</v>
      </c>
      <c r="D84" s="551"/>
      <c r="E84" s="559" t="s">
        <v>220</v>
      </c>
      <c r="F84" s="698">
        <v>2</v>
      </c>
      <c r="G84" s="863" t="s">
        <v>73</v>
      </c>
      <c r="H84" s="865">
        <v>12</v>
      </c>
      <c r="I84" s="700"/>
      <c r="J84" s="705">
        <v>3.54</v>
      </c>
      <c r="K84" s="705">
        <v>9.87</v>
      </c>
      <c r="L84" s="946">
        <v>0.19</v>
      </c>
      <c r="M84" s="866"/>
      <c r="N84" s="832"/>
      <c r="O84" s="704" t="str">
        <f t="shared" si="62"/>
        <v>NO</v>
      </c>
      <c r="P84" s="568">
        <v>50</v>
      </c>
      <c r="Q84" s="561">
        <v>1.5</v>
      </c>
      <c r="R84" s="568">
        <v>4</v>
      </c>
      <c r="S84" s="705">
        <v>4</v>
      </c>
      <c r="T84" s="568">
        <v>115</v>
      </c>
      <c r="U84" s="715">
        <v>81</v>
      </c>
      <c r="V84" s="705">
        <v>20</v>
      </c>
      <c r="W84" s="707">
        <f t="shared" si="63"/>
        <v>60</v>
      </c>
      <c r="X84" s="708">
        <f t="shared" si="64"/>
        <v>177</v>
      </c>
      <c r="Y84" s="709">
        <f t="shared" si="65"/>
        <v>0.8676470588235294</v>
      </c>
      <c r="Z84" s="710">
        <f t="shared" si="66"/>
        <v>112.85311764705881</v>
      </c>
      <c r="AA84" s="711">
        <f t="shared" si="67"/>
        <v>1</v>
      </c>
      <c r="AB84" s="837">
        <f t="shared" si="68"/>
        <v>56.25899999999999</v>
      </c>
      <c r="AC84" s="561">
        <v>17.2</v>
      </c>
      <c r="AD84" s="838">
        <f t="shared" si="69"/>
        <v>20.58139534883721</v>
      </c>
      <c r="AE84" s="568">
        <v>30</v>
      </c>
      <c r="AF84" s="568">
        <v>1.6</v>
      </c>
      <c r="AG84" s="839">
        <v>29</v>
      </c>
      <c r="AH84" s="839">
        <v>0</v>
      </c>
      <c r="AI84" s="840">
        <f t="shared" si="70"/>
        <v>421.05</v>
      </c>
      <c r="AJ84" s="715">
        <v>80</v>
      </c>
      <c r="AK84" s="707">
        <f t="shared" si="71"/>
        <v>1</v>
      </c>
      <c r="AL84" s="838">
        <f t="shared" si="72"/>
        <v>540</v>
      </c>
      <c r="AM84" s="838">
        <f t="shared" si="73"/>
        <v>1369.26</v>
      </c>
      <c r="AN84" s="838">
        <f t="shared" si="74"/>
        <v>589.47</v>
      </c>
      <c r="AO84" s="928">
        <f t="shared" si="75"/>
        <v>68.463</v>
      </c>
      <c r="AP84" s="712">
        <f t="shared" si="76"/>
        <v>13.6926</v>
      </c>
      <c r="AQ84" s="718" t="str">
        <f t="shared" si="77"/>
        <v>OK</v>
      </c>
      <c r="AR84" s="719">
        <f t="shared" si="78"/>
        <v>218.55</v>
      </c>
      <c r="AS84" s="939">
        <f t="shared" si="79"/>
        <v>18.212500000000002</v>
      </c>
      <c r="AT84" s="838">
        <f t="shared" si="80"/>
        <v>540</v>
      </c>
      <c r="AU84" s="838">
        <f t="shared" si="81"/>
        <v>45</v>
      </c>
      <c r="AV84" s="715">
        <v>53.8</v>
      </c>
      <c r="AW84" s="721">
        <f t="shared" si="82"/>
        <v>10.9275</v>
      </c>
      <c r="AX84" s="695">
        <v>46.9</v>
      </c>
      <c r="AY84" s="566">
        <v>0</v>
      </c>
      <c r="AZ84" s="872">
        <f t="shared" si="89"/>
        <v>3.5661764705882355</v>
      </c>
      <c r="BA84" s="724">
        <v>180</v>
      </c>
      <c r="BB84" s="711">
        <f t="shared" si="83"/>
        <v>0.5042815023714909</v>
      </c>
      <c r="BC84" s="721">
        <f t="shared" si="84"/>
        <v>0.3724137931034483</v>
      </c>
      <c r="BD84" s="710">
        <f t="shared" si="85"/>
        <v>0.6666666666666666</v>
      </c>
      <c r="BE84" s="718" t="str">
        <f t="shared" si="86"/>
        <v>OK</v>
      </c>
      <c r="BF84" s="718" t="str">
        <f t="shared" si="87"/>
        <v>OK</v>
      </c>
    </row>
    <row r="85" spans="1:58" s="548" customFormat="1" ht="9">
      <c r="A85" s="551"/>
      <c r="B85" s="580">
        <v>4</v>
      </c>
      <c r="C85" s="727">
        <f t="shared" si="88"/>
        <v>0.96</v>
      </c>
      <c r="D85" s="551"/>
      <c r="E85" s="559" t="s">
        <v>221</v>
      </c>
      <c r="F85" s="940" t="s">
        <v>215</v>
      </c>
      <c r="G85" s="873" t="s">
        <v>73</v>
      </c>
      <c r="H85" s="874">
        <v>12</v>
      </c>
      <c r="I85" s="729"/>
      <c r="J85" s="735">
        <v>3.54</v>
      </c>
      <c r="K85" s="733">
        <v>9.87</v>
      </c>
      <c r="L85" s="876">
        <v>0.19</v>
      </c>
      <c r="M85" s="931"/>
      <c r="N85" s="844"/>
      <c r="O85" s="761" t="str">
        <f t="shared" si="62"/>
        <v>NO</v>
      </c>
      <c r="P85" s="762">
        <v>50</v>
      </c>
      <c r="Q85" s="763">
        <v>1.5</v>
      </c>
      <c r="R85" s="762">
        <v>4</v>
      </c>
      <c r="S85" s="735">
        <v>4</v>
      </c>
      <c r="T85" s="762">
        <v>115</v>
      </c>
      <c r="U85" s="706">
        <v>82.5</v>
      </c>
      <c r="V85" s="735">
        <v>20</v>
      </c>
      <c r="W85" s="736">
        <f t="shared" si="63"/>
        <v>60</v>
      </c>
      <c r="X85" s="843">
        <f t="shared" si="64"/>
        <v>177</v>
      </c>
      <c r="Y85" s="738">
        <f t="shared" si="65"/>
        <v>0.8676470588235294</v>
      </c>
      <c r="Z85" s="757">
        <f t="shared" si="66"/>
        <v>112.85311764705881</v>
      </c>
      <c r="AA85" s="767">
        <f t="shared" si="67"/>
        <v>1</v>
      </c>
      <c r="AB85" s="717">
        <f t="shared" si="68"/>
        <v>56.25899999999999</v>
      </c>
      <c r="AC85" s="932">
        <v>17.2</v>
      </c>
      <c r="AD85" s="751">
        <f t="shared" si="69"/>
        <v>20.58139534883721</v>
      </c>
      <c r="AE85" s="762">
        <v>30</v>
      </c>
      <c r="AF85" s="762">
        <v>1.6</v>
      </c>
      <c r="AG85" s="931">
        <v>29</v>
      </c>
      <c r="AH85" s="931">
        <v>0</v>
      </c>
      <c r="AI85" s="768">
        <f t="shared" si="70"/>
        <v>428.625</v>
      </c>
      <c r="AJ85" s="746">
        <v>80</v>
      </c>
      <c r="AK85" s="747">
        <f t="shared" si="71"/>
        <v>1</v>
      </c>
      <c r="AL85" s="751">
        <f t="shared" si="72"/>
        <v>550</v>
      </c>
      <c r="AM85" s="751">
        <f t="shared" si="73"/>
        <v>1394.35</v>
      </c>
      <c r="AN85" s="751">
        <f t="shared" si="74"/>
        <v>600.0749999999999</v>
      </c>
      <c r="AO85" s="736">
        <f t="shared" si="75"/>
        <v>69.7175</v>
      </c>
      <c r="AP85" s="717">
        <f t="shared" si="76"/>
        <v>13.9435</v>
      </c>
      <c r="AQ85" s="748" t="str">
        <f t="shared" si="77"/>
        <v>OK</v>
      </c>
      <c r="AR85" s="749">
        <f t="shared" si="78"/>
        <v>222.375</v>
      </c>
      <c r="AS85" s="845">
        <f t="shared" si="79"/>
        <v>18.53125</v>
      </c>
      <c r="AT85" s="751">
        <f t="shared" si="80"/>
        <v>550</v>
      </c>
      <c r="AU85" s="751">
        <f t="shared" si="81"/>
        <v>45.833333333333336</v>
      </c>
      <c r="AV85" s="706">
        <v>53.8</v>
      </c>
      <c r="AW85" s="917">
        <f t="shared" si="82"/>
        <v>11.11875</v>
      </c>
      <c r="AX85" s="726">
        <v>46.9</v>
      </c>
      <c r="AY85" s="585">
        <v>0</v>
      </c>
      <c r="AZ85" s="943">
        <f t="shared" si="89"/>
        <v>3.5661764705882355</v>
      </c>
      <c r="BA85" s="941">
        <v>180</v>
      </c>
      <c r="BB85" s="767">
        <f t="shared" si="83"/>
        <v>0.5131072939366748</v>
      </c>
      <c r="BC85" s="752">
        <f t="shared" si="84"/>
        <v>0.37931034482758624</v>
      </c>
      <c r="BD85" s="757">
        <f t="shared" si="85"/>
        <v>0.6666666666666666</v>
      </c>
      <c r="BE85" s="748" t="str">
        <f t="shared" si="86"/>
        <v>OK</v>
      </c>
      <c r="BF85" s="748" t="str">
        <f t="shared" si="87"/>
        <v>OK</v>
      </c>
    </row>
    <row r="86" spans="1:58" s="668" customFormat="1" ht="9">
      <c r="A86" s="942"/>
      <c r="B86" s="580">
        <v>4</v>
      </c>
      <c r="C86" s="727">
        <f t="shared" si="88"/>
        <v>0.96</v>
      </c>
      <c r="D86" s="942"/>
      <c r="E86" s="929"/>
      <c r="F86" s="940">
        <v>5</v>
      </c>
      <c r="G86" s="873" t="s">
        <v>73</v>
      </c>
      <c r="H86" s="874">
        <v>12</v>
      </c>
      <c r="I86" s="805"/>
      <c r="J86" s="834">
        <v>3.54</v>
      </c>
      <c r="K86" s="733">
        <v>9.87</v>
      </c>
      <c r="L86" s="876">
        <v>0.19</v>
      </c>
      <c r="M86" s="931"/>
      <c r="N86" s="806"/>
      <c r="O86" s="807" t="str">
        <f t="shared" si="62"/>
        <v>NO</v>
      </c>
      <c r="P86" s="743">
        <v>50</v>
      </c>
      <c r="Q86" s="584">
        <v>1.5</v>
      </c>
      <c r="R86" s="743">
        <v>4</v>
      </c>
      <c r="S86" s="701">
        <v>4</v>
      </c>
      <c r="T86" s="743">
        <v>115</v>
      </c>
      <c r="U86" s="734">
        <v>75</v>
      </c>
      <c r="V86" s="834">
        <v>20</v>
      </c>
      <c r="W86" s="736">
        <f t="shared" si="63"/>
        <v>60</v>
      </c>
      <c r="X86" s="843">
        <f t="shared" si="64"/>
        <v>177</v>
      </c>
      <c r="Y86" s="738">
        <f t="shared" si="65"/>
        <v>0.8676470588235294</v>
      </c>
      <c r="Z86" s="757">
        <f t="shared" si="66"/>
        <v>112.85311764705881</v>
      </c>
      <c r="AA86" s="767">
        <f t="shared" si="67"/>
        <v>1</v>
      </c>
      <c r="AB86" s="717">
        <f t="shared" si="68"/>
        <v>56.25899999999999</v>
      </c>
      <c r="AC86" s="932">
        <v>17.2</v>
      </c>
      <c r="AD86" s="751">
        <f t="shared" si="69"/>
        <v>20.58139534883721</v>
      </c>
      <c r="AE86" s="762">
        <v>30</v>
      </c>
      <c r="AF86" s="762">
        <v>1.6</v>
      </c>
      <c r="AG86" s="931">
        <v>29</v>
      </c>
      <c r="AH86" s="931">
        <v>0</v>
      </c>
      <c r="AI86" s="768">
        <f t="shared" si="70"/>
        <v>390.75</v>
      </c>
      <c r="AJ86" s="744">
        <v>80</v>
      </c>
      <c r="AK86" s="747">
        <f t="shared" si="71"/>
        <v>1</v>
      </c>
      <c r="AL86" s="751">
        <f t="shared" si="72"/>
        <v>500</v>
      </c>
      <c r="AM86" s="751">
        <f t="shared" si="73"/>
        <v>1268.9</v>
      </c>
      <c r="AN86" s="751">
        <f t="shared" si="74"/>
        <v>547.05</v>
      </c>
      <c r="AO86" s="736">
        <f t="shared" si="75"/>
        <v>63.445</v>
      </c>
      <c r="AP86" s="717">
        <f t="shared" si="76"/>
        <v>12.689</v>
      </c>
      <c r="AQ86" s="748" t="str">
        <f t="shared" si="77"/>
        <v>OK</v>
      </c>
      <c r="AR86" s="749">
        <f t="shared" si="78"/>
        <v>203.25</v>
      </c>
      <c r="AS86" s="845">
        <f t="shared" si="79"/>
        <v>16.9375</v>
      </c>
      <c r="AT86" s="742">
        <f t="shared" si="80"/>
        <v>500</v>
      </c>
      <c r="AU86" s="742">
        <f t="shared" si="81"/>
        <v>41.666666666666664</v>
      </c>
      <c r="AV86" s="746">
        <v>53.8</v>
      </c>
      <c r="AW86" s="917">
        <f t="shared" si="82"/>
        <v>10.1625</v>
      </c>
      <c r="AX86" s="726">
        <v>46.9</v>
      </c>
      <c r="AY86" s="932">
        <v>0</v>
      </c>
      <c r="AZ86" s="933">
        <f t="shared" si="89"/>
        <v>3.5661764705882355</v>
      </c>
      <c r="BA86" s="755">
        <v>180</v>
      </c>
      <c r="BB86" s="767">
        <f t="shared" si="83"/>
        <v>0.468978336110755</v>
      </c>
      <c r="BC86" s="752">
        <f t="shared" si="84"/>
        <v>0.34482758620689646</v>
      </c>
      <c r="BD86" s="757">
        <f t="shared" si="85"/>
        <v>0.6666666666666666</v>
      </c>
      <c r="BE86" s="748" t="str">
        <f t="shared" si="86"/>
        <v>OK</v>
      </c>
      <c r="BF86" s="748" t="str">
        <f t="shared" si="87"/>
        <v>OK</v>
      </c>
    </row>
    <row r="87" spans="1:58" s="548" customFormat="1" ht="9.75" thickBot="1">
      <c r="A87" s="551"/>
      <c r="B87" s="947">
        <v>3</v>
      </c>
      <c r="C87" s="846">
        <f t="shared" si="88"/>
        <v>0.72</v>
      </c>
      <c r="D87" s="551"/>
      <c r="E87" s="594" t="s">
        <v>273</v>
      </c>
      <c r="F87" s="772" t="s">
        <v>216</v>
      </c>
      <c r="G87" s="902" t="s">
        <v>73</v>
      </c>
      <c r="H87" s="902">
        <v>12</v>
      </c>
      <c r="I87" s="821"/>
      <c r="J87" s="776">
        <v>3.54</v>
      </c>
      <c r="K87" s="776">
        <v>9.87</v>
      </c>
      <c r="L87" s="777">
        <v>0.19</v>
      </c>
      <c r="M87" s="903"/>
      <c r="N87" s="811"/>
      <c r="O87" s="825" t="str">
        <f t="shared" si="62"/>
        <v>NO</v>
      </c>
      <c r="P87" s="605">
        <v>50</v>
      </c>
      <c r="Q87" s="666">
        <v>1.5</v>
      </c>
      <c r="R87" s="605">
        <v>4</v>
      </c>
      <c r="S87" s="822">
        <v>4</v>
      </c>
      <c r="T87" s="605">
        <v>115</v>
      </c>
      <c r="U87" s="781">
        <v>81</v>
      </c>
      <c r="V87" s="822">
        <v>20</v>
      </c>
      <c r="W87" s="792">
        <f t="shared" si="63"/>
        <v>60</v>
      </c>
      <c r="X87" s="826">
        <f t="shared" si="64"/>
        <v>177</v>
      </c>
      <c r="Y87" s="827">
        <f t="shared" si="65"/>
        <v>0.8676470588235294</v>
      </c>
      <c r="Z87" s="819">
        <f t="shared" si="66"/>
        <v>112.85311764705881</v>
      </c>
      <c r="AA87" s="812">
        <f t="shared" si="67"/>
        <v>1</v>
      </c>
      <c r="AB87" s="813">
        <f t="shared" si="68"/>
        <v>56.25899999999999</v>
      </c>
      <c r="AC87" s="666">
        <v>17.2</v>
      </c>
      <c r="AD87" s="793">
        <f t="shared" si="69"/>
        <v>20.58139534883721</v>
      </c>
      <c r="AE87" s="605">
        <v>30</v>
      </c>
      <c r="AF87" s="605">
        <v>1.6</v>
      </c>
      <c r="AG87" s="789">
        <v>29</v>
      </c>
      <c r="AH87" s="789">
        <v>0</v>
      </c>
      <c r="AI87" s="791">
        <f t="shared" si="70"/>
        <v>421.05</v>
      </c>
      <c r="AJ87" s="789">
        <v>125</v>
      </c>
      <c r="AK87" s="782">
        <f t="shared" si="71"/>
        <v>1</v>
      </c>
      <c r="AL87" s="793">
        <f t="shared" si="72"/>
        <v>843.75</v>
      </c>
      <c r="AM87" s="793">
        <f t="shared" si="73"/>
        <v>1855.26</v>
      </c>
      <c r="AN87" s="793">
        <f t="shared" si="74"/>
        <v>589.47</v>
      </c>
      <c r="AO87" s="792">
        <f t="shared" si="75"/>
        <v>92.763</v>
      </c>
      <c r="AP87" s="787">
        <f t="shared" si="76"/>
        <v>18.552599999999998</v>
      </c>
      <c r="AQ87" s="820" t="str">
        <f t="shared" si="77"/>
        <v>OK</v>
      </c>
      <c r="AR87" s="948">
        <f t="shared" si="78"/>
        <v>218.55</v>
      </c>
      <c r="AS87" s="949">
        <f t="shared" si="79"/>
        <v>18.212500000000002</v>
      </c>
      <c r="AT87" s="788">
        <f t="shared" si="80"/>
        <v>843.75</v>
      </c>
      <c r="AU87" s="788">
        <f t="shared" si="81"/>
        <v>70.3125</v>
      </c>
      <c r="AV87" s="781">
        <v>53.8</v>
      </c>
      <c r="AW87" s="797">
        <f t="shared" si="82"/>
        <v>10.9275</v>
      </c>
      <c r="AX87" s="769">
        <v>46.9</v>
      </c>
      <c r="AY87" s="950">
        <v>0</v>
      </c>
      <c r="AZ87" s="799">
        <f t="shared" si="89"/>
        <v>3.5661764705882355</v>
      </c>
      <c r="BA87" s="800">
        <v>180</v>
      </c>
      <c r="BB87" s="801">
        <f t="shared" si="83"/>
        <v>0.5042815023714909</v>
      </c>
      <c r="BC87" s="797">
        <f t="shared" si="84"/>
        <v>0.5818965517241379</v>
      </c>
      <c r="BD87" s="785">
        <f t="shared" si="85"/>
        <v>0.6666666666666666</v>
      </c>
      <c r="BE87" s="802" t="str">
        <f t="shared" si="86"/>
        <v>OK</v>
      </c>
      <c r="BF87" s="802" t="str">
        <f t="shared" si="87"/>
        <v>OK</v>
      </c>
    </row>
    <row r="88" spans="2:10" s="548" customFormat="1" ht="9">
      <c r="B88" s="580"/>
      <c r="C88" s="647"/>
      <c r="E88" s="665"/>
      <c r="F88" s="665"/>
      <c r="J88" s="656"/>
    </row>
    <row r="89" spans="2:10" s="548" customFormat="1" ht="9">
      <c r="B89" s="580"/>
      <c r="C89" s="647"/>
      <c r="E89" s="665"/>
      <c r="F89" s="665"/>
      <c r="J89" s="656"/>
    </row>
    <row r="90" spans="2:10" s="548" customFormat="1" ht="9">
      <c r="B90" s="580"/>
      <c r="C90" s="647"/>
      <c r="E90" s="665"/>
      <c r="F90" s="665"/>
      <c r="J90" s="656"/>
    </row>
    <row r="91" spans="2:10" s="548" customFormat="1" ht="9">
      <c r="B91" s="580"/>
      <c r="C91" s="647"/>
      <c r="E91" s="665"/>
      <c r="F91" s="665"/>
      <c r="J91" s="656"/>
    </row>
    <row r="92" spans="2:10" s="548" customFormat="1" ht="9">
      <c r="B92" s="580"/>
      <c r="C92" s="647"/>
      <c r="E92" s="665"/>
      <c r="F92" s="665"/>
      <c r="J92" s="656"/>
    </row>
    <row r="93" spans="2:10" s="548" customFormat="1" ht="9">
      <c r="B93" s="580"/>
      <c r="C93" s="647"/>
      <c r="E93" s="665"/>
      <c r="F93" s="665"/>
      <c r="J93" s="656"/>
    </row>
    <row r="94" spans="2:10" s="548" customFormat="1" ht="9">
      <c r="B94" s="580"/>
      <c r="C94" s="647"/>
      <c r="E94" s="665"/>
      <c r="F94" s="665"/>
      <c r="J94" s="656"/>
    </row>
    <row r="95" spans="2:10" s="548" customFormat="1" ht="9">
      <c r="B95" s="580"/>
      <c r="C95" s="647"/>
      <c r="E95" s="665"/>
      <c r="F95" s="665"/>
      <c r="J95" s="656"/>
    </row>
    <row r="96" spans="2:10" s="548" customFormat="1" ht="9">
      <c r="B96" s="580"/>
      <c r="C96" s="647"/>
      <c r="E96" s="665"/>
      <c r="F96" s="665"/>
      <c r="J96" s="656"/>
    </row>
    <row r="97" spans="2:10" s="548" customFormat="1" ht="9">
      <c r="B97" s="580"/>
      <c r="C97" s="647"/>
      <c r="E97" s="665"/>
      <c r="F97" s="665"/>
      <c r="J97" s="656"/>
    </row>
    <row r="98" spans="2:69" s="548" customFormat="1" ht="12" thickBot="1">
      <c r="B98" s="580"/>
      <c r="C98" s="647"/>
      <c r="E98" s="660"/>
      <c r="F98" s="661" t="s">
        <v>120</v>
      </c>
      <c r="G98" s="662"/>
      <c r="H98" s="662"/>
      <c r="I98" s="663" t="s">
        <v>121</v>
      </c>
      <c r="J98" s="663"/>
      <c r="K98" s="664" t="s">
        <v>122</v>
      </c>
      <c r="L98" s="655"/>
      <c r="Y98" s="98" t="s">
        <v>292</v>
      </c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98" t="s">
        <v>293</v>
      </c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98" t="s">
        <v>291</v>
      </c>
    </row>
    <row r="99" spans="1:12" s="548" customFormat="1" ht="9.75" thickTop="1">
      <c r="A99" s="580"/>
      <c r="B99" s="580"/>
      <c r="C99" s="647"/>
      <c r="E99" s="652"/>
      <c r="F99" s="665"/>
      <c r="H99" s="548" t="s">
        <v>21</v>
      </c>
      <c r="J99" s="645"/>
      <c r="K99" s="655"/>
      <c r="L99" s="655"/>
    </row>
    <row r="100" spans="1:12" s="548" customFormat="1" ht="9">
      <c r="A100" s="580"/>
      <c r="B100" s="580"/>
      <c r="C100" s="647"/>
      <c r="E100" s="660"/>
      <c r="J100" s="580"/>
      <c r="K100" s="579"/>
      <c r="L100" s="580"/>
    </row>
    <row r="101" spans="1:12" s="548" customFormat="1" ht="9">
      <c r="A101" s="580"/>
      <c r="B101" s="580"/>
      <c r="C101" s="647"/>
      <c r="E101" s="849"/>
      <c r="J101" s="580"/>
      <c r="K101" s="580"/>
      <c r="L101" s="580"/>
    </row>
    <row r="102" spans="1:12" s="548" customFormat="1" ht="9">
      <c r="A102" s="580"/>
      <c r="B102" s="580"/>
      <c r="C102" s="647"/>
      <c r="E102" s="849"/>
      <c r="J102" s="580"/>
      <c r="K102" s="580"/>
      <c r="L102" s="580"/>
    </row>
    <row r="103" spans="1:12" s="548" customFormat="1" ht="9">
      <c r="A103" s="580"/>
      <c r="B103" s="580"/>
      <c r="C103" s="647"/>
      <c r="E103" s="849"/>
      <c r="J103" s="580"/>
      <c r="K103" s="580"/>
      <c r="L103" s="580"/>
    </row>
    <row r="104" spans="1:12" s="548" customFormat="1" ht="9">
      <c r="A104" s="580"/>
      <c r="B104" s="580"/>
      <c r="C104" s="647"/>
      <c r="E104" s="849"/>
      <c r="J104" s="580"/>
      <c r="K104" s="580"/>
      <c r="L104" s="580"/>
    </row>
    <row r="105" spans="1:12" s="548" customFormat="1" ht="9">
      <c r="A105" s="580"/>
      <c r="B105" s="580"/>
      <c r="C105" s="647"/>
      <c r="E105" s="849"/>
      <c r="J105" s="580"/>
      <c r="K105" s="580"/>
      <c r="L105" s="580"/>
    </row>
    <row r="106" spans="1:12" s="548" customFormat="1" ht="9.75" thickBot="1">
      <c r="A106" s="580"/>
      <c r="B106" s="580"/>
      <c r="C106" s="647"/>
      <c r="E106" s="849"/>
      <c r="J106" s="580"/>
      <c r="K106" s="580"/>
      <c r="L106" s="580"/>
    </row>
    <row r="107" spans="2:58" s="548" customFormat="1" ht="9.75" thickBot="1">
      <c r="B107" s="947"/>
      <c r="C107" s="951"/>
      <c r="D107" s="551"/>
      <c r="E107" s="552" t="s">
        <v>191</v>
      </c>
      <c r="F107" s="850" t="s">
        <v>222</v>
      </c>
      <c r="G107" s="554"/>
      <c r="H107" s="554"/>
      <c r="I107" s="554"/>
      <c r="J107" s="554"/>
      <c r="K107" s="555"/>
      <c r="L107" s="554"/>
      <c r="M107" s="554"/>
      <c r="N107" s="554"/>
      <c r="O107" s="554"/>
      <c r="P107" s="554"/>
      <c r="Q107" s="554"/>
      <c r="R107" s="554"/>
      <c r="S107" s="554"/>
      <c r="T107" s="554"/>
      <c r="U107" s="554"/>
      <c r="V107" s="554"/>
      <c r="W107" s="554"/>
      <c r="X107" s="554"/>
      <c r="Y107" s="55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Q107" s="907"/>
      <c r="AR107" s="554"/>
      <c r="AS107" s="554"/>
      <c r="AT107" s="554"/>
      <c r="AU107" s="554"/>
      <c r="AV107" s="554"/>
      <c r="AW107" s="554"/>
      <c r="AX107" s="554"/>
      <c r="AY107" s="554"/>
      <c r="AZ107" s="554"/>
      <c r="BA107" s="554"/>
      <c r="BB107" s="554"/>
      <c r="BC107" s="554"/>
      <c r="BD107" s="554"/>
      <c r="BE107" s="554"/>
      <c r="BF107" s="556"/>
    </row>
    <row r="108" spans="2:58" s="548" customFormat="1" ht="9">
      <c r="B108" s="557" t="s">
        <v>244</v>
      </c>
      <c r="C108" s="558" t="s">
        <v>56</v>
      </c>
      <c r="D108" s="551"/>
      <c r="E108" s="559" t="s">
        <v>124</v>
      </c>
      <c r="F108" s="560" t="s">
        <v>124</v>
      </c>
      <c r="G108" s="561" t="s">
        <v>58</v>
      </c>
      <c r="H108" s="561"/>
      <c r="I108" s="561"/>
      <c r="J108" s="561"/>
      <c r="K108" s="561"/>
      <c r="L108" s="561"/>
      <c r="M108" s="561"/>
      <c r="N108" s="561"/>
      <c r="O108" s="561"/>
      <c r="P108" s="562"/>
      <c r="Q108" s="563" t="s">
        <v>34</v>
      </c>
      <c r="R108" s="564"/>
      <c r="S108" s="565" t="s">
        <v>61</v>
      </c>
      <c r="T108" s="566"/>
      <c r="U108" s="567" t="s">
        <v>25</v>
      </c>
      <c r="V108" s="568"/>
      <c r="W108" s="568"/>
      <c r="X108" s="571" t="s">
        <v>49</v>
      </c>
      <c r="Y108" s="569"/>
      <c r="Z108" s="674"/>
      <c r="AA108" s="675" t="s">
        <v>96</v>
      </c>
      <c r="AB108" s="676"/>
      <c r="AC108" s="563" t="s">
        <v>17</v>
      </c>
      <c r="AD108" s="568"/>
      <c r="AE108" s="575" t="s">
        <v>7</v>
      </c>
      <c r="AF108" s="575" t="s">
        <v>7</v>
      </c>
      <c r="AG108" s="677" t="s">
        <v>7</v>
      </c>
      <c r="AH108" s="571" t="s">
        <v>7</v>
      </c>
      <c r="AI108" s="575" t="s">
        <v>7</v>
      </c>
      <c r="AJ108" s="678" t="s">
        <v>8</v>
      </c>
      <c r="AK108" s="679" t="s">
        <v>8</v>
      </c>
      <c r="AL108" s="680" t="s">
        <v>8</v>
      </c>
      <c r="AM108" s="680" t="s">
        <v>97</v>
      </c>
      <c r="AN108" s="588" t="s">
        <v>98</v>
      </c>
      <c r="AO108" s="562"/>
      <c r="AP108" s="569"/>
      <c r="AQ108" s="681" t="s">
        <v>50</v>
      </c>
      <c r="AR108" s="574" t="s">
        <v>7</v>
      </c>
      <c r="AS108" s="571" t="s">
        <v>7</v>
      </c>
      <c r="AT108" s="575" t="s">
        <v>8</v>
      </c>
      <c r="AU108" s="575" t="s">
        <v>8</v>
      </c>
      <c r="AV108" s="574" t="s">
        <v>34</v>
      </c>
      <c r="AW108" s="578" t="s">
        <v>14</v>
      </c>
      <c r="AX108" s="578" t="s">
        <v>51</v>
      </c>
      <c r="AY108" s="575" t="s">
        <v>9</v>
      </c>
      <c r="AZ108" s="575" t="s">
        <v>10</v>
      </c>
      <c r="BA108" s="577" t="s">
        <v>29</v>
      </c>
      <c r="BB108" s="574" t="s">
        <v>41</v>
      </c>
      <c r="BC108" s="578" t="s">
        <v>42</v>
      </c>
      <c r="BD108" s="590" t="s">
        <v>134</v>
      </c>
      <c r="BE108" s="682" t="s">
        <v>7</v>
      </c>
      <c r="BF108" s="560" t="s">
        <v>8</v>
      </c>
    </row>
    <row r="109" spans="2:58" s="548" customFormat="1" ht="9">
      <c r="B109" s="570"/>
      <c r="C109" s="583"/>
      <c r="D109" s="551"/>
      <c r="E109" s="559"/>
      <c r="F109" s="582"/>
      <c r="G109" s="584"/>
      <c r="H109" s="584"/>
      <c r="I109" s="584"/>
      <c r="J109" s="584"/>
      <c r="K109" s="584"/>
      <c r="L109" s="584"/>
      <c r="M109" s="584"/>
      <c r="N109" s="584"/>
      <c r="O109" s="584"/>
      <c r="P109" s="585"/>
      <c r="Q109" s="571" t="s">
        <v>1</v>
      </c>
      <c r="R109" s="586"/>
      <c r="S109" s="587" t="s">
        <v>62</v>
      </c>
      <c r="T109" s="587" t="s">
        <v>63</v>
      </c>
      <c r="U109" s="588" t="s">
        <v>26</v>
      </c>
      <c r="V109" s="589"/>
      <c r="W109" s="589"/>
      <c r="Y109" s="572"/>
      <c r="Z109" s="578" t="s">
        <v>51</v>
      </c>
      <c r="AA109" s="684" t="s">
        <v>74</v>
      </c>
      <c r="AB109" s="578" t="s">
        <v>52</v>
      </c>
      <c r="AC109" s="571" t="s">
        <v>18</v>
      </c>
      <c r="AD109" s="575" t="s">
        <v>30</v>
      </c>
      <c r="AE109" s="575" t="s">
        <v>70</v>
      </c>
      <c r="AF109" s="575" t="s">
        <v>34</v>
      </c>
      <c r="AG109" s="575" t="s">
        <v>61</v>
      </c>
      <c r="AH109" s="679" t="s">
        <v>87</v>
      </c>
      <c r="AI109" s="575" t="s">
        <v>62</v>
      </c>
      <c r="AJ109" s="579"/>
      <c r="AK109" s="679" t="s">
        <v>67</v>
      </c>
      <c r="AL109" s="680" t="s">
        <v>81</v>
      </c>
      <c r="AM109" s="680" t="s">
        <v>15</v>
      </c>
      <c r="AN109" s="588"/>
      <c r="AO109" s="574" t="s">
        <v>14</v>
      </c>
      <c r="AP109" s="577" t="s">
        <v>36</v>
      </c>
      <c r="AQ109" s="582" t="s">
        <v>37</v>
      </c>
      <c r="AR109" s="574" t="s">
        <v>85</v>
      </c>
      <c r="AS109" s="580"/>
      <c r="AT109" s="589"/>
      <c r="AU109" s="589"/>
      <c r="AV109" s="574" t="s">
        <v>33</v>
      </c>
      <c r="AW109" s="577" t="s">
        <v>85</v>
      </c>
      <c r="AX109" s="576" t="s">
        <v>34</v>
      </c>
      <c r="AY109" s="579"/>
      <c r="AZ109" s="580"/>
      <c r="BA109" s="577" t="s">
        <v>46</v>
      </c>
      <c r="BB109" s="574" t="s">
        <v>13</v>
      </c>
      <c r="BC109" s="578"/>
      <c r="BD109" s="551"/>
      <c r="BE109" s="581" t="s">
        <v>39</v>
      </c>
      <c r="BF109" s="582" t="s">
        <v>39</v>
      </c>
    </row>
    <row r="110" spans="2:58" s="548" customFormat="1" ht="9">
      <c r="B110" s="570"/>
      <c r="C110" s="583"/>
      <c r="D110" s="551"/>
      <c r="E110" s="559"/>
      <c r="F110" s="582"/>
      <c r="G110" s="591" t="s">
        <v>59</v>
      </c>
      <c r="H110" s="579" t="s">
        <v>56</v>
      </c>
      <c r="I110" s="579" t="s">
        <v>88</v>
      </c>
      <c r="J110" s="575" t="s">
        <v>47</v>
      </c>
      <c r="K110" s="575" t="s">
        <v>0</v>
      </c>
      <c r="L110" s="575" t="s">
        <v>2</v>
      </c>
      <c r="M110" s="575" t="s">
        <v>90</v>
      </c>
      <c r="N110" s="575" t="s">
        <v>285</v>
      </c>
      <c r="O110" s="575" t="s">
        <v>95</v>
      </c>
      <c r="P110" s="575" t="s">
        <v>3</v>
      </c>
      <c r="Q110" s="571" t="s">
        <v>19</v>
      </c>
      <c r="R110" s="575" t="s">
        <v>4</v>
      </c>
      <c r="S110" s="575" t="s">
        <v>19</v>
      </c>
      <c r="T110" s="575" t="s">
        <v>56</v>
      </c>
      <c r="U110" s="588" t="s">
        <v>16</v>
      </c>
      <c r="V110" s="575" t="s">
        <v>21</v>
      </c>
      <c r="W110" s="575" t="s">
        <v>48</v>
      </c>
      <c r="X110" s="571" t="s">
        <v>6</v>
      </c>
      <c r="Y110" s="577" t="s">
        <v>5</v>
      </c>
      <c r="Z110" s="578" t="s">
        <v>53</v>
      </c>
      <c r="AA110" s="573"/>
      <c r="AB110" s="578"/>
      <c r="AC110" s="571" t="s">
        <v>32</v>
      </c>
      <c r="AD110" s="575" t="s">
        <v>31</v>
      </c>
      <c r="AE110" s="575" t="s">
        <v>71</v>
      </c>
      <c r="AF110" s="575" t="s">
        <v>72</v>
      </c>
      <c r="AG110" s="575"/>
      <c r="AH110" s="679" t="s">
        <v>86</v>
      </c>
      <c r="AI110" s="575"/>
      <c r="AJ110" s="589"/>
      <c r="AK110" s="679" t="s">
        <v>27</v>
      </c>
      <c r="AL110" s="680" t="s">
        <v>82</v>
      </c>
      <c r="AM110" s="575" t="s">
        <v>83</v>
      </c>
      <c r="AN110" s="574" t="s">
        <v>83</v>
      </c>
      <c r="AO110" s="574"/>
      <c r="AP110" s="577"/>
      <c r="AQ110" s="578" t="s">
        <v>54</v>
      </c>
      <c r="AR110" s="686"/>
      <c r="AS110" s="589"/>
      <c r="AT110" s="589"/>
      <c r="AU110" s="589"/>
      <c r="AV110" s="589"/>
      <c r="AW110" s="572"/>
      <c r="AX110" s="576" t="s">
        <v>84</v>
      </c>
      <c r="AY110" s="579"/>
      <c r="AZ110" s="589"/>
      <c r="BA110" s="551"/>
      <c r="BB110" s="579"/>
      <c r="BC110" s="572"/>
      <c r="BD110" s="570"/>
      <c r="BE110" s="570"/>
      <c r="BF110" s="570"/>
    </row>
    <row r="111" spans="2:58" s="548" customFormat="1" ht="9.75" thickBot="1">
      <c r="B111" s="592"/>
      <c r="C111" s="988" t="s">
        <v>246</v>
      </c>
      <c r="D111" s="551"/>
      <c r="E111" s="594"/>
      <c r="F111" s="595"/>
      <c r="G111" s="596" t="s">
        <v>60</v>
      </c>
      <c r="H111" s="596" t="s">
        <v>11</v>
      </c>
      <c r="I111" s="596"/>
      <c r="J111" s="597" t="s">
        <v>43</v>
      </c>
      <c r="K111" s="597" t="s">
        <v>40</v>
      </c>
      <c r="L111" s="597" t="s">
        <v>40</v>
      </c>
      <c r="M111" s="597"/>
      <c r="N111" s="597"/>
      <c r="O111" s="597"/>
      <c r="P111" s="597" t="s">
        <v>44</v>
      </c>
      <c r="Q111" s="598" t="s">
        <v>40</v>
      </c>
      <c r="R111" s="597" t="s">
        <v>44</v>
      </c>
      <c r="S111" s="597" t="s">
        <v>40</v>
      </c>
      <c r="T111" s="597" t="s">
        <v>57</v>
      </c>
      <c r="U111" s="599" t="s">
        <v>40</v>
      </c>
      <c r="V111" s="597" t="s">
        <v>12</v>
      </c>
      <c r="W111" s="597" t="s">
        <v>40</v>
      </c>
      <c r="X111" s="598" t="s">
        <v>35</v>
      </c>
      <c r="Y111" s="600" t="s">
        <v>40</v>
      </c>
      <c r="Z111" s="601" t="s">
        <v>45</v>
      </c>
      <c r="AA111" s="603"/>
      <c r="AB111" s="601" t="s">
        <v>35</v>
      </c>
      <c r="AC111" s="598" t="s">
        <v>24</v>
      </c>
      <c r="AD111" s="597" t="s">
        <v>22</v>
      </c>
      <c r="AE111" s="597" t="s">
        <v>28</v>
      </c>
      <c r="AF111" s="597" t="s">
        <v>28</v>
      </c>
      <c r="AG111" s="604" t="s">
        <v>28</v>
      </c>
      <c r="AH111" s="604" t="s">
        <v>11</v>
      </c>
      <c r="AI111" s="597" t="s">
        <v>11</v>
      </c>
      <c r="AJ111" s="607" t="s">
        <v>28</v>
      </c>
      <c r="AK111" s="605"/>
      <c r="AL111" s="688" t="s">
        <v>11</v>
      </c>
      <c r="AM111" s="689" t="s">
        <v>11</v>
      </c>
      <c r="AN111" s="690" t="s">
        <v>11</v>
      </c>
      <c r="AO111" s="604" t="s">
        <v>45</v>
      </c>
      <c r="AP111" s="600" t="s">
        <v>35</v>
      </c>
      <c r="AQ111" s="606" t="s">
        <v>23</v>
      </c>
      <c r="AR111" s="691" t="s">
        <v>11</v>
      </c>
      <c r="AS111" s="692" t="s">
        <v>20</v>
      </c>
      <c r="AT111" s="693" t="s">
        <v>11</v>
      </c>
      <c r="AU111" s="693" t="s">
        <v>20</v>
      </c>
      <c r="AV111" s="607" t="s">
        <v>38</v>
      </c>
      <c r="AW111" s="601" t="s">
        <v>45</v>
      </c>
      <c r="AX111" s="601" t="s">
        <v>45</v>
      </c>
      <c r="AY111" s="597" t="s">
        <v>40</v>
      </c>
      <c r="AZ111" s="597" t="s">
        <v>40</v>
      </c>
      <c r="BA111" s="606" t="s">
        <v>38</v>
      </c>
      <c r="BB111" s="604" t="s">
        <v>40</v>
      </c>
      <c r="BC111" s="601" t="s">
        <v>40</v>
      </c>
      <c r="BD111" s="694" t="s">
        <v>40</v>
      </c>
      <c r="BE111" s="608" t="s">
        <v>23</v>
      </c>
      <c r="BF111" s="608" t="s">
        <v>23</v>
      </c>
    </row>
    <row r="112" spans="2:58" s="548" customFormat="1" ht="9">
      <c r="B112" s="675">
        <v>1</v>
      </c>
      <c r="C112" s="696">
        <f>B112*V112*$H112/1000</f>
        <v>0.21</v>
      </c>
      <c r="D112" s="551"/>
      <c r="E112" s="953" t="s">
        <v>223</v>
      </c>
      <c r="F112" s="856" t="s">
        <v>183</v>
      </c>
      <c r="G112" s="863" t="s">
        <v>73</v>
      </c>
      <c r="H112" s="830">
        <v>12</v>
      </c>
      <c r="I112" s="830"/>
      <c r="J112" s="831">
        <v>3.54</v>
      </c>
      <c r="K112" s="831">
        <v>9.87</v>
      </c>
      <c r="L112" s="703">
        <v>0.19</v>
      </c>
      <c r="M112" s="703"/>
      <c r="N112" s="703"/>
      <c r="O112" s="833" t="str">
        <f aca="true" t="shared" si="90" ref="O112:O129">IF(M112&lt;1.1*((N112*29000)/P112)^0.5,1,"NO")</f>
        <v>NO</v>
      </c>
      <c r="P112" s="568">
        <v>50</v>
      </c>
      <c r="Q112" s="561">
        <v>1.5</v>
      </c>
      <c r="R112" s="568">
        <v>4</v>
      </c>
      <c r="S112" s="705">
        <v>4</v>
      </c>
      <c r="T112" s="568">
        <v>115</v>
      </c>
      <c r="U112" s="839">
        <v>37.5</v>
      </c>
      <c r="V112" s="705">
        <v>17.5</v>
      </c>
      <c r="W112" s="928">
        <f>MIN((V112/4)*12,U112)</f>
        <v>37.5</v>
      </c>
      <c r="X112" s="954">
        <f aca="true" t="shared" si="91" ref="X112:X127">J112*P112</f>
        <v>177</v>
      </c>
      <c r="Y112" s="955">
        <f aca="true" t="shared" si="92" ref="Y112:Y127">(J112*P112)/(0.85*R112*W112)</f>
        <v>1.388235294117647</v>
      </c>
      <c r="Z112" s="956">
        <f aca="true" t="shared" si="93" ref="Z112:Z127">(0.9*((J112*P112*(K112/2))+(0.85*R112*Y112*W112*(S112-(Y112/2)))))/12</f>
        <v>109.39771323529409</v>
      </c>
      <c r="AA112" s="711">
        <f aca="true" t="shared" si="94" ref="AA112:AA129">IF(I112="v",0.9,1)</f>
        <v>1</v>
      </c>
      <c r="AB112" s="712">
        <f aca="true" t="shared" si="95" ref="AB112:AB129">IF(O112="NO",AA112*0.6*P112*K112*L112,AA112*0.6*P112*K112*L112*O112)</f>
        <v>56.25899999999999</v>
      </c>
      <c r="AC112" s="561">
        <v>17.2</v>
      </c>
      <c r="AD112" s="838">
        <f aca="true" t="shared" si="96" ref="AD112:AD127">(X112/AC112)*2</f>
        <v>20.58139534883721</v>
      </c>
      <c r="AE112" s="568">
        <v>30</v>
      </c>
      <c r="AF112" s="568">
        <v>1.6</v>
      </c>
      <c r="AG112" s="839">
        <v>29</v>
      </c>
      <c r="AH112" s="839">
        <v>520</v>
      </c>
      <c r="AI112" s="840">
        <f aca="true" t="shared" si="97" ref="AI112:AI129">((AE112+AG112+AF112)*(U112/12))+H112+AH112</f>
        <v>721.375</v>
      </c>
      <c r="AJ112" s="839">
        <v>125</v>
      </c>
      <c r="AK112" s="707">
        <f aca="true" t="shared" si="98" ref="AK112:AK129">IF(0.25+(15/($E$6*V112*(U112/12))^0.5)&gt;0.5,IF(0.25+(15/($E$6*V112*(U112/12))^0.5)&gt;1,1,0.25+(15/($E$6*V112*(U112/12))^0.5)),0.5)</f>
        <v>1</v>
      </c>
      <c r="AL112" s="838">
        <f aca="true" t="shared" si="99" ref="AL112:AL129">(AJ112*AK112)*(U112/12)</f>
        <v>390.625</v>
      </c>
      <c r="AM112" s="838">
        <f aca="true" t="shared" si="100" ref="AM112:AM129">(1.2*AI112)+(1.6*AL112)</f>
        <v>1490.65</v>
      </c>
      <c r="AN112" s="713">
        <f aca="true" t="shared" si="101" ref="AN112:AN129">1.4*AI112</f>
        <v>1009.925</v>
      </c>
      <c r="AO112" s="707">
        <f aca="true" t="shared" si="102" ref="AO112:AO129">MAX((AN112*V112*V112)/8000,(AM112*V112*V112)/8000)</f>
        <v>57.0639453125</v>
      </c>
      <c r="AP112" s="717">
        <f aca="true" t="shared" si="103" ref="AP112:AP129">MAX(AN112*V112/2000,AM112*V112/2000)</f>
        <v>13.0431875</v>
      </c>
      <c r="AQ112" s="957" t="str">
        <f aca="true" t="shared" si="104" ref="AQ112:AQ129">IF(AND(Z112&gt;AO112,AB112&gt;AP112),"OK","NG")</f>
        <v>OK</v>
      </c>
      <c r="AR112" s="958">
        <f aca="true" t="shared" si="105" ref="AR112:AR129">((AF112+AG112)*(U112/12))+H112</f>
        <v>107.625</v>
      </c>
      <c r="AS112" s="871">
        <f aca="true" t="shared" si="106" ref="AS112:AS129">AR112/12</f>
        <v>8.96875</v>
      </c>
      <c r="AT112" s="838">
        <f aca="true" t="shared" si="107" ref="AT112:AT129">AJ112*(U112/12)</f>
        <v>390.625</v>
      </c>
      <c r="AU112" s="838">
        <f aca="true" t="shared" si="108" ref="AU112:AU129">AT112/12</f>
        <v>32.552083333333336</v>
      </c>
      <c r="AV112" s="839">
        <v>53.8</v>
      </c>
      <c r="AW112" s="959">
        <f aca="true" t="shared" si="109" ref="AW112:AW129">(AR112*V112*V112)/8000</f>
        <v>4.12001953125</v>
      </c>
      <c r="AX112" s="557"/>
      <c r="AY112" s="960">
        <v>0</v>
      </c>
      <c r="AZ112" s="961">
        <f>S112-Y112/2</f>
        <v>3.3058823529411763</v>
      </c>
      <c r="BA112" s="569">
        <v>180</v>
      </c>
      <c r="BB112" s="962">
        <f aca="true" t="shared" si="110" ref="BB112:BB129">(5*(AS112)*((V112*12)^4))/(384*29000000*AV112)</f>
        <v>0.1455685659916397</v>
      </c>
      <c r="BC112" s="959">
        <f aca="true" t="shared" si="111" ref="BC112:BC129">(5*(AU112)*((V112*12)^4))/(384*29000000*BA112)</f>
        <v>0.1579153126683729</v>
      </c>
      <c r="BD112" s="710">
        <f aca="true" t="shared" si="112" ref="BD112:BD129">(V112/400)*12</f>
        <v>0.5249999999999999</v>
      </c>
      <c r="BE112" s="963" t="str">
        <f>IF(BB112&gt;BD112,"NG","OK")</f>
        <v>OK</v>
      </c>
      <c r="BF112" s="963" t="str">
        <f>IF(BC112&gt;BD112,"NG","OK")</f>
        <v>OK</v>
      </c>
    </row>
    <row r="113" spans="2:58" s="548" customFormat="1" ht="9">
      <c r="B113" s="986">
        <v>1</v>
      </c>
      <c r="C113" s="727">
        <f>B113*V113*$H113/1000</f>
        <v>0.21</v>
      </c>
      <c r="D113" s="551"/>
      <c r="E113" s="964" t="s">
        <v>174</v>
      </c>
      <c r="F113" s="940" t="s">
        <v>108</v>
      </c>
      <c r="G113" s="965" t="s">
        <v>73</v>
      </c>
      <c r="H113" s="760">
        <v>12</v>
      </c>
      <c r="I113" s="760"/>
      <c r="J113" s="735">
        <v>3.54</v>
      </c>
      <c r="K113" s="735">
        <v>9.87</v>
      </c>
      <c r="L113" s="730">
        <v>0.19</v>
      </c>
      <c r="M113" s="730"/>
      <c r="N113" s="730"/>
      <c r="O113" s="761" t="str">
        <f t="shared" si="90"/>
        <v>NO</v>
      </c>
      <c r="P113" s="762">
        <v>50</v>
      </c>
      <c r="Q113" s="763">
        <v>1.5</v>
      </c>
      <c r="R113" s="762">
        <v>4</v>
      </c>
      <c r="S113" s="735">
        <v>4</v>
      </c>
      <c r="T113" s="762">
        <v>115</v>
      </c>
      <c r="U113" s="746">
        <v>37.5</v>
      </c>
      <c r="V113" s="735">
        <v>17.5</v>
      </c>
      <c r="W113" s="736">
        <f>MIN((V113/4)*12,U113)</f>
        <v>37.5</v>
      </c>
      <c r="X113" s="843">
        <f t="shared" si="91"/>
        <v>177</v>
      </c>
      <c r="Y113" s="738">
        <f t="shared" si="92"/>
        <v>1.388235294117647</v>
      </c>
      <c r="Z113" s="766">
        <f t="shared" si="93"/>
        <v>109.39771323529409</v>
      </c>
      <c r="AA113" s="767">
        <f t="shared" si="94"/>
        <v>1</v>
      </c>
      <c r="AB113" s="717">
        <f t="shared" si="95"/>
        <v>56.25899999999999</v>
      </c>
      <c r="AC113" s="763">
        <v>17.2</v>
      </c>
      <c r="AD113" s="751">
        <f t="shared" si="96"/>
        <v>20.58139534883721</v>
      </c>
      <c r="AE113" s="762">
        <v>30</v>
      </c>
      <c r="AF113" s="762">
        <v>1.6</v>
      </c>
      <c r="AG113" s="746">
        <v>29</v>
      </c>
      <c r="AH113" s="746">
        <v>520</v>
      </c>
      <c r="AI113" s="768">
        <f t="shared" si="97"/>
        <v>721.375</v>
      </c>
      <c r="AJ113" s="746">
        <v>80</v>
      </c>
      <c r="AK113" s="736">
        <f t="shared" si="98"/>
        <v>1</v>
      </c>
      <c r="AL113" s="751">
        <f t="shared" si="99"/>
        <v>250</v>
      </c>
      <c r="AM113" s="751">
        <f t="shared" si="100"/>
        <v>1265.65</v>
      </c>
      <c r="AN113" s="742">
        <f t="shared" si="101"/>
        <v>1009.925</v>
      </c>
      <c r="AO113" s="736">
        <f t="shared" si="102"/>
        <v>48.4506640625</v>
      </c>
      <c r="AP113" s="717">
        <f t="shared" si="103"/>
        <v>11.0744375</v>
      </c>
      <c r="AQ113" s="966" t="str">
        <f t="shared" si="104"/>
        <v>OK</v>
      </c>
      <c r="AR113" s="749">
        <f t="shared" si="105"/>
        <v>107.625</v>
      </c>
      <c r="AS113" s="750">
        <f t="shared" si="106"/>
        <v>8.96875</v>
      </c>
      <c r="AT113" s="751">
        <f t="shared" si="107"/>
        <v>250</v>
      </c>
      <c r="AU113" s="751">
        <f t="shared" si="108"/>
        <v>20.833333333333332</v>
      </c>
      <c r="AV113" s="746">
        <v>53.8</v>
      </c>
      <c r="AW113" s="752">
        <f t="shared" si="109"/>
        <v>4.12001953125</v>
      </c>
      <c r="AX113" s="726"/>
      <c r="AY113" s="753">
        <v>0</v>
      </c>
      <c r="AZ113" s="754">
        <f>S113-Y113/2</f>
        <v>3.3058823529411763</v>
      </c>
      <c r="BA113" s="755">
        <v>180</v>
      </c>
      <c r="BB113" s="756">
        <f t="shared" si="110"/>
        <v>0.1455685659916397</v>
      </c>
      <c r="BC113" s="752">
        <f t="shared" si="111"/>
        <v>0.1010658001077586</v>
      </c>
      <c r="BD113" s="757">
        <f t="shared" si="112"/>
        <v>0.5249999999999999</v>
      </c>
      <c r="BE113" s="748" t="str">
        <f>IF(BB113&gt;BD113,"NG","OK")</f>
        <v>OK</v>
      </c>
      <c r="BF113" s="748" t="str">
        <f>IF(BC113&gt;BD113,"NG","OK")</f>
        <v>OK</v>
      </c>
    </row>
    <row r="114" spans="2:58" s="548" customFormat="1" ht="9">
      <c r="B114" s="986">
        <v>1</v>
      </c>
      <c r="C114" s="727">
        <f aca="true" t="shared" si="113" ref="C114:C129">B114*V114*$H114/1000</f>
        <v>0.21</v>
      </c>
      <c r="D114" s="551"/>
      <c r="E114" s="728" t="s">
        <v>224</v>
      </c>
      <c r="F114" s="940" t="s">
        <v>162</v>
      </c>
      <c r="G114" s="965" t="s">
        <v>73</v>
      </c>
      <c r="H114" s="760">
        <v>12</v>
      </c>
      <c r="I114" s="760"/>
      <c r="J114" s="735">
        <v>3.54</v>
      </c>
      <c r="K114" s="735">
        <v>9.87</v>
      </c>
      <c r="L114" s="730">
        <v>0.19</v>
      </c>
      <c r="M114" s="730"/>
      <c r="N114" s="730"/>
      <c r="O114" s="761" t="str">
        <f t="shared" si="90"/>
        <v>NO</v>
      </c>
      <c r="P114" s="762">
        <v>50</v>
      </c>
      <c r="Q114" s="763">
        <v>1.5</v>
      </c>
      <c r="R114" s="762">
        <v>4</v>
      </c>
      <c r="S114" s="735">
        <v>4</v>
      </c>
      <c r="T114" s="762">
        <v>115</v>
      </c>
      <c r="U114" s="746">
        <v>37.5</v>
      </c>
      <c r="V114" s="735">
        <v>17.5</v>
      </c>
      <c r="W114" s="736">
        <f aca="true" t="shared" si="114" ref="W114:W123">MIN((V114/4)*12,U114)</f>
        <v>37.5</v>
      </c>
      <c r="X114" s="843">
        <f t="shared" si="91"/>
        <v>177</v>
      </c>
      <c r="Y114" s="738">
        <f t="shared" si="92"/>
        <v>1.388235294117647</v>
      </c>
      <c r="Z114" s="766">
        <f t="shared" si="93"/>
        <v>109.39771323529409</v>
      </c>
      <c r="AA114" s="767">
        <f t="shared" si="94"/>
        <v>1</v>
      </c>
      <c r="AB114" s="717">
        <f t="shared" si="95"/>
        <v>56.25899999999999</v>
      </c>
      <c r="AC114" s="763">
        <v>17.2</v>
      </c>
      <c r="AD114" s="751">
        <f t="shared" si="96"/>
        <v>20.58139534883721</v>
      </c>
      <c r="AE114" s="762">
        <v>30</v>
      </c>
      <c r="AF114" s="762">
        <v>1.6</v>
      </c>
      <c r="AG114" s="746">
        <v>29</v>
      </c>
      <c r="AH114" s="746">
        <v>520</v>
      </c>
      <c r="AI114" s="768">
        <f t="shared" si="97"/>
        <v>721.375</v>
      </c>
      <c r="AJ114" s="746">
        <v>80</v>
      </c>
      <c r="AK114" s="736">
        <f t="shared" si="98"/>
        <v>1</v>
      </c>
      <c r="AL114" s="751">
        <f t="shared" si="99"/>
        <v>250</v>
      </c>
      <c r="AM114" s="751">
        <f t="shared" si="100"/>
        <v>1265.65</v>
      </c>
      <c r="AN114" s="742">
        <f t="shared" si="101"/>
        <v>1009.925</v>
      </c>
      <c r="AO114" s="736">
        <f t="shared" si="102"/>
        <v>48.4506640625</v>
      </c>
      <c r="AP114" s="717">
        <f t="shared" si="103"/>
        <v>11.0744375</v>
      </c>
      <c r="AQ114" s="966" t="str">
        <f t="shared" si="104"/>
        <v>OK</v>
      </c>
      <c r="AR114" s="749">
        <f t="shared" si="105"/>
        <v>107.625</v>
      </c>
      <c r="AS114" s="750">
        <f t="shared" si="106"/>
        <v>8.96875</v>
      </c>
      <c r="AT114" s="751">
        <f t="shared" si="107"/>
        <v>250</v>
      </c>
      <c r="AU114" s="751">
        <f t="shared" si="108"/>
        <v>20.833333333333332</v>
      </c>
      <c r="AV114" s="746">
        <v>53.8</v>
      </c>
      <c r="AW114" s="752">
        <f t="shared" si="109"/>
        <v>4.12001953125</v>
      </c>
      <c r="AX114" s="726"/>
      <c r="AY114" s="753">
        <v>0</v>
      </c>
      <c r="AZ114" s="754">
        <f aca="true" t="shared" si="115" ref="AZ114:AZ123">S114-Y114/2</f>
        <v>3.3058823529411763</v>
      </c>
      <c r="BA114" s="755">
        <v>180</v>
      </c>
      <c r="BB114" s="756">
        <f t="shared" si="110"/>
        <v>0.1455685659916397</v>
      </c>
      <c r="BC114" s="752">
        <f t="shared" si="111"/>
        <v>0.1010658001077586</v>
      </c>
      <c r="BD114" s="757">
        <f t="shared" si="112"/>
        <v>0.5249999999999999</v>
      </c>
      <c r="BE114" s="748" t="str">
        <f aca="true" t="shared" si="116" ref="BE114:BE123">IF(BB114&gt;BD114,"NG","OK")</f>
        <v>OK</v>
      </c>
      <c r="BF114" s="748" t="str">
        <f aca="true" t="shared" si="117" ref="BF114:BF123">IF(BC114&gt;BD114,"NG","OK")</f>
        <v>OK</v>
      </c>
    </row>
    <row r="115" spans="2:58" s="548" customFormat="1" ht="9.75" thickBot="1">
      <c r="B115" s="987">
        <v>1</v>
      </c>
      <c r="C115" s="846">
        <f t="shared" si="113"/>
        <v>0.21</v>
      </c>
      <c r="D115" s="551"/>
      <c r="E115" s="697" t="s">
        <v>178</v>
      </c>
      <c r="F115" s="967" t="s">
        <v>225</v>
      </c>
      <c r="G115" s="929" t="s">
        <v>73</v>
      </c>
      <c r="H115" s="848">
        <v>12</v>
      </c>
      <c r="I115" s="848"/>
      <c r="J115" s="834">
        <v>3.54</v>
      </c>
      <c r="K115" s="834">
        <v>9.87</v>
      </c>
      <c r="L115" s="968">
        <v>0.19</v>
      </c>
      <c r="M115" s="968"/>
      <c r="N115" s="968"/>
      <c r="O115" s="807" t="str">
        <f t="shared" si="90"/>
        <v>NO</v>
      </c>
      <c r="P115" s="743">
        <v>50</v>
      </c>
      <c r="Q115" s="584">
        <v>1.5</v>
      </c>
      <c r="R115" s="743">
        <v>4</v>
      </c>
      <c r="S115" s="701">
        <v>4</v>
      </c>
      <c r="T115" s="743">
        <v>115</v>
      </c>
      <c r="U115" s="706">
        <v>37.5</v>
      </c>
      <c r="V115" s="701">
        <v>17.5</v>
      </c>
      <c r="W115" s="747">
        <f t="shared" si="114"/>
        <v>37.5</v>
      </c>
      <c r="X115" s="764">
        <f t="shared" si="91"/>
        <v>177</v>
      </c>
      <c r="Y115" s="765">
        <f t="shared" si="92"/>
        <v>1.388235294117647</v>
      </c>
      <c r="Z115" s="969">
        <f t="shared" si="93"/>
        <v>109.39771323529409</v>
      </c>
      <c r="AA115" s="740">
        <f t="shared" si="94"/>
        <v>1</v>
      </c>
      <c r="AB115" s="970">
        <f t="shared" si="95"/>
        <v>56.25899999999999</v>
      </c>
      <c r="AC115" s="584">
        <v>17.2</v>
      </c>
      <c r="AD115" s="742">
        <f t="shared" si="96"/>
        <v>20.58139534883721</v>
      </c>
      <c r="AE115" s="743">
        <v>30</v>
      </c>
      <c r="AF115" s="743">
        <v>1.6</v>
      </c>
      <c r="AG115" s="706">
        <v>29</v>
      </c>
      <c r="AH115" s="706">
        <v>520</v>
      </c>
      <c r="AI115" s="912">
        <f t="shared" si="97"/>
        <v>721.375</v>
      </c>
      <c r="AJ115" s="706">
        <v>80</v>
      </c>
      <c r="AK115" s="890">
        <f t="shared" si="98"/>
        <v>1</v>
      </c>
      <c r="AL115" s="742">
        <f t="shared" si="99"/>
        <v>250</v>
      </c>
      <c r="AM115" s="742">
        <f t="shared" si="100"/>
        <v>1265.65</v>
      </c>
      <c r="AN115" s="869">
        <f t="shared" si="101"/>
        <v>1009.925</v>
      </c>
      <c r="AO115" s="890">
        <f t="shared" si="102"/>
        <v>48.4506640625</v>
      </c>
      <c r="AP115" s="787">
        <f t="shared" si="103"/>
        <v>11.0744375</v>
      </c>
      <c r="AQ115" s="971" t="str">
        <f t="shared" si="104"/>
        <v>OK</v>
      </c>
      <c r="AR115" s="916">
        <f t="shared" si="105"/>
        <v>107.625</v>
      </c>
      <c r="AS115" s="936">
        <f t="shared" si="106"/>
        <v>8.96875</v>
      </c>
      <c r="AT115" s="742">
        <f t="shared" si="107"/>
        <v>250</v>
      </c>
      <c r="AU115" s="742">
        <f t="shared" si="108"/>
        <v>20.833333333333332</v>
      </c>
      <c r="AV115" s="706">
        <v>53.8</v>
      </c>
      <c r="AW115" s="917">
        <f t="shared" si="109"/>
        <v>4.12001953125</v>
      </c>
      <c r="AX115" s="803"/>
      <c r="AY115" s="919">
        <v>0</v>
      </c>
      <c r="AZ115" s="920">
        <f t="shared" si="115"/>
        <v>3.3058823529411763</v>
      </c>
      <c r="BA115" s="941">
        <v>180</v>
      </c>
      <c r="BB115" s="937">
        <f t="shared" si="110"/>
        <v>0.1455685659916397</v>
      </c>
      <c r="BC115" s="917">
        <f t="shared" si="111"/>
        <v>0.1010658001077586</v>
      </c>
      <c r="BD115" s="972">
        <f t="shared" si="112"/>
        <v>0.5249999999999999</v>
      </c>
      <c r="BE115" s="915" t="str">
        <f t="shared" si="116"/>
        <v>OK</v>
      </c>
      <c r="BF115" s="915" t="str">
        <f t="shared" si="117"/>
        <v>OK</v>
      </c>
    </row>
    <row r="116" spans="2:58" s="548" customFormat="1" ht="9">
      <c r="B116" s="911">
        <v>1</v>
      </c>
      <c r="C116" s="696">
        <f t="shared" si="113"/>
        <v>0.385</v>
      </c>
      <c r="D116" s="551"/>
      <c r="E116" s="953" t="s">
        <v>183</v>
      </c>
      <c r="F116" s="856" t="s">
        <v>226</v>
      </c>
      <c r="G116" s="863" t="s">
        <v>219</v>
      </c>
      <c r="H116" s="830">
        <v>14</v>
      </c>
      <c r="I116" s="830" t="s">
        <v>89</v>
      </c>
      <c r="J116" s="831">
        <v>4.16</v>
      </c>
      <c r="K116" s="831">
        <v>11.9</v>
      </c>
      <c r="L116" s="703">
        <v>0.2</v>
      </c>
      <c r="M116" s="831">
        <v>54.3</v>
      </c>
      <c r="N116" s="832">
        <f>IF(M116&lt;260,5,"NO")</f>
        <v>5</v>
      </c>
      <c r="O116" s="833">
        <f t="shared" si="90"/>
        <v>1</v>
      </c>
      <c r="P116" s="568">
        <v>50</v>
      </c>
      <c r="Q116" s="561">
        <v>1.5</v>
      </c>
      <c r="R116" s="568">
        <v>4</v>
      </c>
      <c r="S116" s="705">
        <v>4</v>
      </c>
      <c r="T116" s="568">
        <v>115</v>
      </c>
      <c r="U116" s="839">
        <v>37.5</v>
      </c>
      <c r="V116" s="705">
        <v>27.5</v>
      </c>
      <c r="W116" s="928">
        <f t="shared" si="114"/>
        <v>37.5</v>
      </c>
      <c r="X116" s="954">
        <f t="shared" si="91"/>
        <v>208</v>
      </c>
      <c r="Y116" s="955">
        <f t="shared" si="92"/>
        <v>1.6313725490196078</v>
      </c>
      <c r="Z116" s="956">
        <f t="shared" si="93"/>
        <v>142.49529411764706</v>
      </c>
      <c r="AA116" s="711">
        <f t="shared" si="94"/>
        <v>0.9</v>
      </c>
      <c r="AB116" s="712">
        <f t="shared" si="95"/>
        <v>64.26</v>
      </c>
      <c r="AC116" s="561">
        <v>17.2</v>
      </c>
      <c r="AD116" s="838">
        <f t="shared" si="96"/>
        <v>24.186046511627907</v>
      </c>
      <c r="AE116" s="568">
        <v>30</v>
      </c>
      <c r="AF116" s="568">
        <v>1.6</v>
      </c>
      <c r="AG116" s="839">
        <v>29</v>
      </c>
      <c r="AH116" s="839">
        <v>520</v>
      </c>
      <c r="AI116" s="840">
        <f t="shared" si="97"/>
        <v>723.375</v>
      </c>
      <c r="AJ116" s="839">
        <v>125</v>
      </c>
      <c r="AK116" s="928">
        <f t="shared" si="98"/>
        <v>1</v>
      </c>
      <c r="AL116" s="838">
        <f t="shared" si="99"/>
        <v>390.625</v>
      </c>
      <c r="AM116" s="838">
        <f t="shared" si="100"/>
        <v>1493.05</v>
      </c>
      <c r="AN116" s="713">
        <f t="shared" si="101"/>
        <v>1012.7249999999999</v>
      </c>
      <c r="AO116" s="707">
        <f t="shared" si="102"/>
        <v>141.1398828125</v>
      </c>
      <c r="AP116" s="741">
        <f t="shared" si="103"/>
        <v>20.5294375</v>
      </c>
      <c r="AQ116" s="957" t="str">
        <f t="shared" si="104"/>
        <v>OK</v>
      </c>
      <c r="AR116" s="958">
        <f t="shared" si="105"/>
        <v>109.625</v>
      </c>
      <c r="AS116" s="871">
        <f t="shared" si="106"/>
        <v>9.135416666666666</v>
      </c>
      <c r="AT116" s="838">
        <f t="shared" si="107"/>
        <v>390.625</v>
      </c>
      <c r="AU116" s="838">
        <f t="shared" si="108"/>
        <v>32.552083333333336</v>
      </c>
      <c r="AV116" s="839">
        <v>88.6</v>
      </c>
      <c r="AW116" s="959">
        <f t="shared" si="109"/>
        <v>10.36298828125</v>
      </c>
      <c r="AX116" s="557"/>
      <c r="AY116" s="960">
        <v>0</v>
      </c>
      <c r="AZ116" s="961">
        <f t="shared" si="115"/>
        <v>3.1843137254901963</v>
      </c>
      <c r="BA116" s="569">
        <v>262</v>
      </c>
      <c r="BB116" s="962">
        <f t="shared" si="110"/>
        <v>0.5490238109228444</v>
      </c>
      <c r="BC116" s="959">
        <f t="shared" si="111"/>
        <v>0.6615673124429332</v>
      </c>
      <c r="BD116" s="710">
        <f t="shared" si="112"/>
        <v>0.8250000000000001</v>
      </c>
      <c r="BE116" s="963" t="str">
        <f t="shared" si="116"/>
        <v>OK</v>
      </c>
      <c r="BF116" s="963" t="str">
        <f t="shared" si="117"/>
        <v>OK</v>
      </c>
    </row>
    <row r="117" spans="2:58" s="548" customFormat="1" ht="9">
      <c r="B117" s="986">
        <v>1</v>
      </c>
      <c r="C117" s="727">
        <f t="shared" si="113"/>
        <v>0.385</v>
      </c>
      <c r="D117" s="551"/>
      <c r="E117" s="964" t="s">
        <v>227</v>
      </c>
      <c r="F117" s="940" t="s">
        <v>174</v>
      </c>
      <c r="G117" s="965" t="s">
        <v>219</v>
      </c>
      <c r="H117" s="760">
        <v>14</v>
      </c>
      <c r="I117" s="760" t="s">
        <v>89</v>
      </c>
      <c r="J117" s="735">
        <v>4.16</v>
      </c>
      <c r="K117" s="735">
        <v>11.9</v>
      </c>
      <c r="L117" s="730">
        <v>0.2</v>
      </c>
      <c r="M117" s="735">
        <v>54.3</v>
      </c>
      <c r="N117" s="844">
        <f>IF(M117&lt;260,5,"NO")</f>
        <v>5</v>
      </c>
      <c r="O117" s="761">
        <f t="shared" si="90"/>
        <v>1</v>
      </c>
      <c r="P117" s="762">
        <v>50</v>
      </c>
      <c r="Q117" s="763">
        <v>1.5</v>
      </c>
      <c r="R117" s="762">
        <v>4</v>
      </c>
      <c r="S117" s="735">
        <v>4</v>
      </c>
      <c r="T117" s="762">
        <v>115</v>
      </c>
      <c r="U117" s="746">
        <v>37.5</v>
      </c>
      <c r="V117" s="735">
        <v>27.5</v>
      </c>
      <c r="W117" s="736">
        <f>MIN((V117/4)*12,U117)</f>
        <v>37.5</v>
      </c>
      <c r="X117" s="843">
        <f t="shared" si="91"/>
        <v>208</v>
      </c>
      <c r="Y117" s="738">
        <f t="shared" si="92"/>
        <v>1.6313725490196078</v>
      </c>
      <c r="Z117" s="766">
        <f t="shared" si="93"/>
        <v>142.49529411764706</v>
      </c>
      <c r="AA117" s="767">
        <f t="shared" si="94"/>
        <v>0.9</v>
      </c>
      <c r="AB117" s="717">
        <f t="shared" si="95"/>
        <v>64.26</v>
      </c>
      <c r="AC117" s="763">
        <v>17.2</v>
      </c>
      <c r="AD117" s="751">
        <f t="shared" si="96"/>
        <v>24.186046511627907</v>
      </c>
      <c r="AE117" s="762">
        <v>30</v>
      </c>
      <c r="AF117" s="762">
        <v>1.6</v>
      </c>
      <c r="AG117" s="746">
        <v>29</v>
      </c>
      <c r="AH117" s="746">
        <v>520</v>
      </c>
      <c r="AI117" s="768">
        <f t="shared" si="97"/>
        <v>723.375</v>
      </c>
      <c r="AJ117" s="746">
        <v>80</v>
      </c>
      <c r="AK117" s="736">
        <f t="shared" si="98"/>
        <v>1</v>
      </c>
      <c r="AL117" s="751">
        <f t="shared" si="99"/>
        <v>250</v>
      </c>
      <c r="AM117" s="751">
        <f t="shared" si="100"/>
        <v>1268.05</v>
      </c>
      <c r="AN117" s="742">
        <f t="shared" si="101"/>
        <v>1012.7249999999999</v>
      </c>
      <c r="AO117" s="736">
        <f t="shared" si="102"/>
        <v>119.8703515625</v>
      </c>
      <c r="AP117" s="717">
        <f t="shared" si="103"/>
        <v>17.4356875</v>
      </c>
      <c r="AQ117" s="966" t="str">
        <f t="shared" si="104"/>
        <v>OK</v>
      </c>
      <c r="AR117" s="749">
        <f t="shared" si="105"/>
        <v>109.625</v>
      </c>
      <c r="AS117" s="750">
        <f>AR117/12</f>
        <v>9.135416666666666</v>
      </c>
      <c r="AT117" s="751">
        <f t="shared" si="107"/>
        <v>250</v>
      </c>
      <c r="AU117" s="751">
        <f>AT117/12</f>
        <v>20.833333333333332</v>
      </c>
      <c r="AV117" s="746">
        <v>88.6</v>
      </c>
      <c r="AW117" s="752">
        <f t="shared" si="109"/>
        <v>10.36298828125</v>
      </c>
      <c r="AX117" s="726"/>
      <c r="AY117" s="753">
        <v>0</v>
      </c>
      <c r="AZ117" s="754">
        <f>S117-Y117/2</f>
        <v>3.1843137254901963</v>
      </c>
      <c r="BA117" s="755">
        <v>262</v>
      </c>
      <c r="BB117" s="756">
        <f t="shared" si="110"/>
        <v>0.5490238109228444</v>
      </c>
      <c r="BC117" s="752">
        <f t="shared" si="111"/>
        <v>0.42340307996347726</v>
      </c>
      <c r="BD117" s="757">
        <f t="shared" si="112"/>
        <v>0.8250000000000001</v>
      </c>
      <c r="BE117" s="748" t="str">
        <f>IF(BB117&gt;BD117,"NG","OK")</f>
        <v>OK</v>
      </c>
      <c r="BF117" s="748" t="str">
        <f>IF(BC117&gt;BD117,"NG","OK")</f>
        <v>OK</v>
      </c>
    </row>
    <row r="118" spans="2:58" s="548" customFormat="1" ht="9">
      <c r="B118" s="986">
        <v>1</v>
      </c>
      <c r="C118" s="727">
        <f t="shared" si="113"/>
        <v>0.385</v>
      </c>
      <c r="D118" s="551"/>
      <c r="E118" s="728" t="s">
        <v>228</v>
      </c>
      <c r="F118" s="940" t="s">
        <v>165</v>
      </c>
      <c r="G118" s="965" t="s">
        <v>219</v>
      </c>
      <c r="H118" s="760">
        <v>14</v>
      </c>
      <c r="I118" s="760" t="s">
        <v>89</v>
      </c>
      <c r="J118" s="735">
        <v>4.16</v>
      </c>
      <c r="K118" s="735">
        <v>11.9</v>
      </c>
      <c r="L118" s="730">
        <v>0.2</v>
      </c>
      <c r="M118" s="735">
        <v>54.3</v>
      </c>
      <c r="N118" s="844">
        <f>IF(M118&lt;260,5,"NO")</f>
        <v>5</v>
      </c>
      <c r="O118" s="761">
        <f t="shared" si="90"/>
        <v>1</v>
      </c>
      <c r="P118" s="762">
        <v>50</v>
      </c>
      <c r="Q118" s="763">
        <v>1.5</v>
      </c>
      <c r="R118" s="762">
        <v>4</v>
      </c>
      <c r="S118" s="735">
        <v>4</v>
      </c>
      <c r="T118" s="762">
        <v>115</v>
      </c>
      <c r="U118" s="746">
        <v>37.5</v>
      </c>
      <c r="V118" s="735">
        <v>27.5</v>
      </c>
      <c r="W118" s="736">
        <f t="shared" si="114"/>
        <v>37.5</v>
      </c>
      <c r="X118" s="843">
        <f t="shared" si="91"/>
        <v>208</v>
      </c>
      <c r="Y118" s="738">
        <f t="shared" si="92"/>
        <v>1.6313725490196078</v>
      </c>
      <c r="Z118" s="766">
        <f t="shared" si="93"/>
        <v>142.49529411764706</v>
      </c>
      <c r="AA118" s="767">
        <f t="shared" si="94"/>
        <v>0.9</v>
      </c>
      <c r="AB118" s="717">
        <f t="shared" si="95"/>
        <v>64.26</v>
      </c>
      <c r="AC118" s="763">
        <v>17.2</v>
      </c>
      <c r="AD118" s="751">
        <f t="shared" si="96"/>
        <v>24.186046511627907</v>
      </c>
      <c r="AE118" s="762">
        <v>30</v>
      </c>
      <c r="AF118" s="762">
        <v>1.6</v>
      </c>
      <c r="AG118" s="746">
        <v>29</v>
      </c>
      <c r="AH118" s="746">
        <v>520</v>
      </c>
      <c r="AI118" s="768">
        <f t="shared" si="97"/>
        <v>723.375</v>
      </c>
      <c r="AJ118" s="746">
        <v>80</v>
      </c>
      <c r="AK118" s="736">
        <f t="shared" si="98"/>
        <v>1</v>
      </c>
      <c r="AL118" s="751">
        <f t="shared" si="99"/>
        <v>250</v>
      </c>
      <c r="AM118" s="751">
        <f t="shared" si="100"/>
        <v>1268.05</v>
      </c>
      <c r="AN118" s="742">
        <f t="shared" si="101"/>
        <v>1012.7249999999999</v>
      </c>
      <c r="AO118" s="736">
        <f t="shared" si="102"/>
        <v>119.8703515625</v>
      </c>
      <c r="AP118" s="717">
        <f t="shared" si="103"/>
        <v>17.4356875</v>
      </c>
      <c r="AQ118" s="966" t="str">
        <f t="shared" si="104"/>
        <v>OK</v>
      </c>
      <c r="AR118" s="749">
        <f t="shared" si="105"/>
        <v>109.625</v>
      </c>
      <c r="AS118" s="750">
        <f t="shared" si="106"/>
        <v>9.135416666666666</v>
      </c>
      <c r="AT118" s="751">
        <f t="shared" si="107"/>
        <v>250</v>
      </c>
      <c r="AU118" s="751">
        <f t="shared" si="108"/>
        <v>20.833333333333332</v>
      </c>
      <c r="AV118" s="746">
        <v>88.6</v>
      </c>
      <c r="AW118" s="752">
        <f t="shared" si="109"/>
        <v>10.36298828125</v>
      </c>
      <c r="AX118" s="726"/>
      <c r="AY118" s="753">
        <v>0</v>
      </c>
      <c r="AZ118" s="754">
        <f t="shared" si="115"/>
        <v>3.1843137254901963</v>
      </c>
      <c r="BA118" s="755">
        <v>262</v>
      </c>
      <c r="BB118" s="756">
        <f t="shared" si="110"/>
        <v>0.5490238109228444</v>
      </c>
      <c r="BC118" s="752">
        <f t="shared" si="111"/>
        <v>0.42340307996347726</v>
      </c>
      <c r="BD118" s="757">
        <f t="shared" si="112"/>
        <v>0.8250000000000001</v>
      </c>
      <c r="BE118" s="748" t="str">
        <f t="shared" si="116"/>
        <v>OK</v>
      </c>
      <c r="BF118" s="748" t="str">
        <f t="shared" si="117"/>
        <v>OK</v>
      </c>
    </row>
    <row r="119" spans="2:58" s="548" customFormat="1" ht="9.75" thickBot="1">
      <c r="B119" s="986">
        <v>1</v>
      </c>
      <c r="C119" s="727">
        <f t="shared" si="113"/>
        <v>0.385</v>
      </c>
      <c r="D119" s="551"/>
      <c r="E119" s="697" t="s">
        <v>173</v>
      </c>
      <c r="F119" s="967" t="s">
        <v>229</v>
      </c>
      <c r="G119" s="773" t="s">
        <v>219</v>
      </c>
      <c r="H119" s="848">
        <v>14</v>
      </c>
      <c r="I119" s="848" t="s">
        <v>89</v>
      </c>
      <c r="J119" s="834">
        <v>4.16</v>
      </c>
      <c r="K119" s="834">
        <v>11.9</v>
      </c>
      <c r="L119" s="968">
        <v>0.2</v>
      </c>
      <c r="M119" s="834">
        <v>54.3</v>
      </c>
      <c r="N119" s="973">
        <f>IF(M119&lt;260,5,"NO")</f>
        <v>5</v>
      </c>
      <c r="O119" s="807">
        <f t="shared" si="90"/>
        <v>1</v>
      </c>
      <c r="P119" s="743">
        <v>50</v>
      </c>
      <c r="Q119" s="584">
        <v>1.5</v>
      </c>
      <c r="R119" s="743">
        <v>4</v>
      </c>
      <c r="S119" s="701">
        <v>4</v>
      </c>
      <c r="T119" s="743">
        <v>115</v>
      </c>
      <c r="U119" s="706">
        <v>37.5</v>
      </c>
      <c r="V119" s="701">
        <v>27.5</v>
      </c>
      <c r="W119" s="747">
        <f t="shared" si="114"/>
        <v>37.5</v>
      </c>
      <c r="X119" s="764">
        <f t="shared" si="91"/>
        <v>208</v>
      </c>
      <c r="Y119" s="765">
        <f t="shared" si="92"/>
        <v>1.6313725490196078</v>
      </c>
      <c r="Z119" s="969">
        <f t="shared" si="93"/>
        <v>142.49529411764706</v>
      </c>
      <c r="AA119" s="740">
        <f t="shared" si="94"/>
        <v>0.9</v>
      </c>
      <c r="AB119" s="970">
        <f t="shared" si="95"/>
        <v>64.26</v>
      </c>
      <c r="AC119" s="584">
        <v>17.2</v>
      </c>
      <c r="AD119" s="742">
        <f t="shared" si="96"/>
        <v>24.186046511627907</v>
      </c>
      <c r="AE119" s="743">
        <v>30</v>
      </c>
      <c r="AF119" s="743">
        <v>1.6</v>
      </c>
      <c r="AG119" s="706">
        <v>29</v>
      </c>
      <c r="AH119" s="706">
        <v>520</v>
      </c>
      <c r="AI119" s="912">
        <f t="shared" si="97"/>
        <v>723.375</v>
      </c>
      <c r="AJ119" s="706">
        <v>80</v>
      </c>
      <c r="AK119" s="890">
        <f t="shared" si="98"/>
        <v>1</v>
      </c>
      <c r="AL119" s="742">
        <f t="shared" si="99"/>
        <v>250</v>
      </c>
      <c r="AM119" s="742">
        <f t="shared" si="100"/>
        <v>1268.05</v>
      </c>
      <c r="AN119" s="869">
        <f t="shared" si="101"/>
        <v>1012.7249999999999</v>
      </c>
      <c r="AO119" s="890">
        <f t="shared" si="102"/>
        <v>119.8703515625</v>
      </c>
      <c r="AP119" s="787">
        <f t="shared" si="103"/>
        <v>17.4356875</v>
      </c>
      <c r="AQ119" s="971" t="str">
        <f t="shared" si="104"/>
        <v>OK</v>
      </c>
      <c r="AR119" s="916">
        <f t="shared" si="105"/>
        <v>109.625</v>
      </c>
      <c r="AS119" s="936">
        <f t="shared" si="106"/>
        <v>9.135416666666666</v>
      </c>
      <c r="AT119" s="742">
        <f t="shared" si="107"/>
        <v>250</v>
      </c>
      <c r="AU119" s="742">
        <f t="shared" si="108"/>
        <v>20.833333333333332</v>
      </c>
      <c r="AV119" s="706">
        <v>88.6</v>
      </c>
      <c r="AW119" s="917">
        <f t="shared" si="109"/>
        <v>10.36298828125</v>
      </c>
      <c r="AX119" s="803"/>
      <c r="AY119" s="919">
        <v>0</v>
      </c>
      <c r="AZ119" s="920">
        <f t="shared" si="115"/>
        <v>3.1843137254901963</v>
      </c>
      <c r="BA119" s="941">
        <v>262</v>
      </c>
      <c r="BB119" s="937">
        <f t="shared" si="110"/>
        <v>0.5490238109228444</v>
      </c>
      <c r="BC119" s="917">
        <f t="shared" si="111"/>
        <v>0.42340307996347726</v>
      </c>
      <c r="BD119" s="972">
        <f t="shared" si="112"/>
        <v>0.8250000000000001</v>
      </c>
      <c r="BE119" s="915" t="str">
        <f t="shared" si="116"/>
        <v>OK</v>
      </c>
      <c r="BF119" s="915" t="str">
        <f t="shared" si="117"/>
        <v>OK</v>
      </c>
    </row>
    <row r="120" spans="2:58" s="548" customFormat="1" ht="9">
      <c r="B120" s="911">
        <v>1</v>
      </c>
      <c r="C120" s="727">
        <f t="shared" si="113"/>
        <v>0.55</v>
      </c>
      <c r="D120" s="551"/>
      <c r="E120" s="953" t="s">
        <v>223</v>
      </c>
      <c r="F120" s="856" t="s">
        <v>230</v>
      </c>
      <c r="G120" s="863" t="s">
        <v>163</v>
      </c>
      <c r="H120" s="830">
        <v>22</v>
      </c>
      <c r="I120" s="830"/>
      <c r="J120" s="831">
        <v>6.49</v>
      </c>
      <c r="K120" s="831">
        <v>13.7</v>
      </c>
      <c r="L120" s="703">
        <v>0.23</v>
      </c>
      <c r="M120" s="705"/>
      <c r="N120" s="974"/>
      <c r="O120" s="833" t="str">
        <f t="shared" si="90"/>
        <v>NO</v>
      </c>
      <c r="P120" s="568">
        <v>50</v>
      </c>
      <c r="Q120" s="561">
        <v>1.5</v>
      </c>
      <c r="R120" s="568">
        <v>4</v>
      </c>
      <c r="S120" s="705">
        <v>4</v>
      </c>
      <c r="T120" s="568">
        <v>115</v>
      </c>
      <c r="U120" s="839">
        <v>105</v>
      </c>
      <c r="V120" s="705">
        <v>25</v>
      </c>
      <c r="W120" s="928">
        <f t="shared" si="114"/>
        <v>75</v>
      </c>
      <c r="X120" s="954">
        <f t="shared" si="91"/>
        <v>324.5</v>
      </c>
      <c r="Y120" s="955">
        <f t="shared" si="92"/>
        <v>1.272549019607843</v>
      </c>
      <c r="Z120" s="956">
        <f t="shared" si="93"/>
        <v>248.57654411764702</v>
      </c>
      <c r="AA120" s="711">
        <f t="shared" si="94"/>
        <v>1</v>
      </c>
      <c r="AB120" s="712">
        <f t="shared" si="95"/>
        <v>94.53</v>
      </c>
      <c r="AC120" s="561">
        <v>17.2</v>
      </c>
      <c r="AD120" s="838">
        <f t="shared" si="96"/>
        <v>37.73255813953489</v>
      </c>
      <c r="AE120" s="568">
        <v>30</v>
      </c>
      <c r="AF120" s="568">
        <v>1.6</v>
      </c>
      <c r="AG120" s="839">
        <v>29</v>
      </c>
      <c r="AH120" s="839">
        <v>520</v>
      </c>
      <c r="AI120" s="840">
        <f t="shared" si="97"/>
        <v>1072.25</v>
      </c>
      <c r="AJ120" s="839">
        <v>125</v>
      </c>
      <c r="AK120" s="707">
        <f t="shared" si="98"/>
        <v>0.9671371656006361</v>
      </c>
      <c r="AL120" s="838">
        <f t="shared" si="99"/>
        <v>1057.8062748756956</v>
      </c>
      <c r="AM120" s="838">
        <f t="shared" si="100"/>
        <v>2979.190039801113</v>
      </c>
      <c r="AN120" s="713">
        <f t="shared" si="101"/>
        <v>1501.1499999999999</v>
      </c>
      <c r="AO120" s="707">
        <f t="shared" si="102"/>
        <v>232.74922185946198</v>
      </c>
      <c r="AP120" s="741">
        <f t="shared" si="103"/>
        <v>37.239875497513914</v>
      </c>
      <c r="AQ120" s="957" t="str">
        <f t="shared" si="104"/>
        <v>OK</v>
      </c>
      <c r="AR120" s="958">
        <f t="shared" si="105"/>
        <v>289.75</v>
      </c>
      <c r="AS120" s="871">
        <f t="shared" si="106"/>
        <v>24.145833333333332</v>
      </c>
      <c r="AT120" s="838">
        <f t="shared" si="107"/>
        <v>1093.75</v>
      </c>
      <c r="AU120" s="838">
        <f t="shared" si="108"/>
        <v>91.14583333333333</v>
      </c>
      <c r="AV120" s="839">
        <v>199</v>
      </c>
      <c r="AW120" s="959">
        <f t="shared" si="109"/>
        <v>22.63671875</v>
      </c>
      <c r="AX120" s="557"/>
      <c r="AY120" s="960">
        <v>0</v>
      </c>
      <c r="AZ120" s="961">
        <f t="shared" si="115"/>
        <v>3.3637254901960785</v>
      </c>
      <c r="BA120" s="569">
        <v>535</v>
      </c>
      <c r="BB120" s="962">
        <f t="shared" si="110"/>
        <v>0.4412806895468722</v>
      </c>
      <c r="BC120" s="959">
        <f t="shared" si="111"/>
        <v>0.6195963331856267</v>
      </c>
      <c r="BD120" s="710">
        <f t="shared" si="112"/>
        <v>0.75</v>
      </c>
      <c r="BE120" s="963" t="str">
        <f t="shared" si="116"/>
        <v>OK</v>
      </c>
      <c r="BF120" s="963" t="str">
        <f t="shared" si="117"/>
        <v>OK</v>
      </c>
    </row>
    <row r="121" spans="2:58" s="548" customFormat="1" ht="9.75" thickBot="1">
      <c r="B121" s="987">
        <v>1</v>
      </c>
      <c r="C121" s="846">
        <f t="shared" si="113"/>
        <v>0.55</v>
      </c>
      <c r="D121" s="551"/>
      <c r="E121" s="964" t="s">
        <v>108</v>
      </c>
      <c r="F121" s="940" t="s">
        <v>231</v>
      </c>
      <c r="G121" s="909" t="s">
        <v>163</v>
      </c>
      <c r="H121" s="804">
        <v>22</v>
      </c>
      <c r="I121" s="804"/>
      <c r="J121" s="701">
        <v>6.49</v>
      </c>
      <c r="K121" s="701">
        <v>13.7</v>
      </c>
      <c r="L121" s="702">
        <v>0.23</v>
      </c>
      <c r="M121" s="735"/>
      <c r="N121" s="844"/>
      <c r="O121" s="761" t="str">
        <f t="shared" si="90"/>
        <v>NO</v>
      </c>
      <c r="P121" s="762">
        <v>50</v>
      </c>
      <c r="Q121" s="763">
        <v>1.5</v>
      </c>
      <c r="R121" s="762">
        <v>4</v>
      </c>
      <c r="S121" s="735">
        <v>4</v>
      </c>
      <c r="T121" s="762">
        <v>115</v>
      </c>
      <c r="U121" s="746">
        <v>105</v>
      </c>
      <c r="V121" s="735">
        <v>25</v>
      </c>
      <c r="W121" s="736">
        <f t="shared" si="114"/>
        <v>75</v>
      </c>
      <c r="X121" s="843">
        <f t="shared" si="91"/>
        <v>324.5</v>
      </c>
      <c r="Y121" s="738">
        <f t="shared" si="92"/>
        <v>1.272549019607843</v>
      </c>
      <c r="Z121" s="766">
        <f t="shared" si="93"/>
        <v>248.57654411764702</v>
      </c>
      <c r="AA121" s="767">
        <f t="shared" si="94"/>
        <v>1</v>
      </c>
      <c r="AB121" s="717">
        <f t="shared" si="95"/>
        <v>94.53</v>
      </c>
      <c r="AC121" s="763">
        <v>17.2</v>
      </c>
      <c r="AD121" s="751">
        <f t="shared" si="96"/>
        <v>37.73255813953489</v>
      </c>
      <c r="AE121" s="762">
        <v>30</v>
      </c>
      <c r="AF121" s="762">
        <v>1.6</v>
      </c>
      <c r="AG121" s="746">
        <v>29</v>
      </c>
      <c r="AH121" s="746">
        <v>520</v>
      </c>
      <c r="AI121" s="768">
        <f t="shared" si="97"/>
        <v>1072.25</v>
      </c>
      <c r="AJ121" s="746">
        <v>80</v>
      </c>
      <c r="AK121" s="736">
        <f t="shared" si="98"/>
        <v>0.9671371656006361</v>
      </c>
      <c r="AL121" s="751">
        <f t="shared" si="99"/>
        <v>676.9960159204453</v>
      </c>
      <c r="AM121" s="751">
        <f t="shared" si="100"/>
        <v>2369.8936254727123</v>
      </c>
      <c r="AN121" s="742">
        <f t="shared" si="101"/>
        <v>1501.1499999999999</v>
      </c>
      <c r="AO121" s="736">
        <f t="shared" si="102"/>
        <v>185.14793949005568</v>
      </c>
      <c r="AP121" s="717">
        <f t="shared" si="103"/>
        <v>29.623670318408905</v>
      </c>
      <c r="AQ121" s="966" t="str">
        <f t="shared" si="104"/>
        <v>OK</v>
      </c>
      <c r="AR121" s="749">
        <f t="shared" si="105"/>
        <v>289.75</v>
      </c>
      <c r="AS121" s="750">
        <f t="shared" si="106"/>
        <v>24.145833333333332</v>
      </c>
      <c r="AT121" s="751">
        <f t="shared" si="107"/>
        <v>700</v>
      </c>
      <c r="AU121" s="751">
        <f t="shared" si="108"/>
        <v>58.333333333333336</v>
      </c>
      <c r="AV121" s="746">
        <v>199</v>
      </c>
      <c r="AW121" s="752">
        <f t="shared" si="109"/>
        <v>22.63671875</v>
      </c>
      <c r="AX121" s="726"/>
      <c r="AY121" s="753">
        <v>0</v>
      </c>
      <c r="AZ121" s="754">
        <f t="shared" si="115"/>
        <v>3.3637254901960785</v>
      </c>
      <c r="BA121" s="755">
        <v>535</v>
      </c>
      <c r="BB121" s="756">
        <f t="shared" si="110"/>
        <v>0.4412806895468722</v>
      </c>
      <c r="BC121" s="752">
        <f t="shared" si="111"/>
        <v>0.39654165323880114</v>
      </c>
      <c r="BD121" s="757">
        <f t="shared" si="112"/>
        <v>0.75</v>
      </c>
      <c r="BE121" s="748" t="str">
        <f t="shared" si="116"/>
        <v>OK</v>
      </c>
      <c r="BF121" s="748" t="str">
        <f t="shared" si="117"/>
        <v>OK</v>
      </c>
    </row>
    <row r="122" spans="2:58" s="548" customFormat="1" ht="9">
      <c r="B122" s="911">
        <v>1</v>
      </c>
      <c r="C122" s="696">
        <f t="shared" si="113"/>
        <v>0.55</v>
      </c>
      <c r="D122" s="551"/>
      <c r="E122" s="964" t="s">
        <v>232</v>
      </c>
      <c r="F122" s="940" t="s">
        <v>224</v>
      </c>
      <c r="G122" s="909" t="s">
        <v>163</v>
      </c>
      <c r="H122" s="804">
        <v>22</v>
      </c>
      <c r="I122" s="804"/>
      <c r="J122" s="701">
        <v>6.49</v>
      </c>
      <c r="K122" s="701">
        <v>13.7</v>
      </c>
      <c r="L122" s="702">
        <v>0.23</v>
      </c>
      <c r="M122" s="701"/>
      <c r="N122" s="806"/>
      <c r="O122" s="761" t="str">
        <f t="shared" si="90"/>
        <v>NO</v>
      </c>
      <c r="P122" s="743">
        <v>50</v>
      </c>
      <c r="Q122" s="763">
        <v>1.5</v>
      </c>
      <c r="R122" s="762">
        <v>4</v>
      </c>
      <c r="S122" s="735">
        <v>4</v>
      </c>
      <c r="T122" s="762">
        <v>115</v>
      </c>
      <c r="U122" s="746">
        <v>105</v>
      </c>
      <c r="V122" s="735">
        <v>25</v>
      </c>
      <c r="W122" s="736">
        <f t="shared" si="114"/>
        <v>75</v>
      </c>
      <c r="X122" s="843">
        <f t="shared" si="91"/>
        <v>324.5</v>
      </c>
      <c r="Y122" s="738">
        <f t="shared" si="92"/>
        <v>1.272549019607843</v>
      </c>
      <c r="Z122" s="766">
        <f t="shared" si="93"/>
        <v>248.57654411764702</v>
      </c>
      <c r="AA122" s="767">
        <f t="shared" si="94"/>
        <v>1</v>
      </c>
      <c r="AB122" s="717">
        <f t="shared" si="95"/>
        <v>94.53</v>
      </c>
      <c r="AC122" s="763">
        <v>17.2</v>
      </c>
      <c r="AD122" s="751">
        <f t="shared" si="96"/>
        <v>37.73255813953489</v>
      </c>
      <c r="AE122" s="762">
        <v>30</v>
      </c>
      <c r="AF122" s="762">
        <v>1.6</v>
      </c>
      <c r="AG122" s="746">
        <v>29</v>
      </c>
      <c r="AH122" s="746">
        <v>520</v>
      </c>
      <c r="AI122" s="768">
        <f t="shared" si="97"/>
        <v>1072.25</v>
      </c>
      <c r="AJ122" s="746">
        <v>80</v>
      </c>
      <c r="AK122" s="736">
        <f t="shared" si="98"/>
        <v>0.9671371656006361</v>
      </c>
      <c r="AL122" s="751">
        <f t="shared" si="99"/>
        <v>676.9960159204453</v>
      </c>
      <c r="AM122" s="751">
        <f t="shared" si="100"/>
        <v>2369.8936254727123</v>
      </c>
      <c r="AN122" s="742">
        <f t="shared" si="101"/>
        <v>1501.1499999999999</v>
      </c>
      <c r="AO122" s="736">
        <f t="shared" si="102"/>
        <v>185.14793949005568</v>
      </c>
      <c r="AP122" s="717">
        <f t="shared" si="103"/>
        <v>29.623670318408905</v>
      </c>
      <c r="AQ122" s="966" t="str">
        <f t="shared" si="104"/>
        <v>OK</v>
      </c>
      <c r="AR122" s="749">
        <f t="shared" si="105"/>
        <v>289.75</v>
      </c>
      <c r="AS122" s="750">
        <f t="shared" si="106"/>
        <v>24.145833333333332</v>
      </c>
      <c r="AT122" s="751">
        <f t="shared" si="107"/>
        <v>700</v>
      </c>
      <c r="AU122" s="751">
        <f t="shared" si="108"/>
        <v>58.333333333333336</v>
      </c>
      <c r="AV122" s="746">
        <v>199</v>
      </c>
      <c r="AW122" s="752">
        <f t="shared" si="109"/>
        <v>22.63671875</v>
      </c>
      <c r="AX122" s="726"/>
      <c r="AY122" s="753">
        <v>0</v>
      </c>
      <c r="AZ122" s="754">
        <f t="shared" si="115"/>
        <v>3.3637254901960785</v>
      </c>
      <c r="BA122" s="755">
        <v>535</v>
      </c>
      <c r="BB122" s="756">
        <f t="shared" si="110"/>
        <v>0.4412806895468722</v>
      </c>
      <c r="BC122" s="752">
        <f t="shared" si="111"/>
        <v>0.39654165323880114</v>
      </c>
      <c r="BD122" s="757">
        <f t="shared" si="112"/>
        <v>0.75</v>
      </c>
      <c r="BE122" s="748" t="str">
        <f t="shared" si="116"/>
        <v>OK</v>
      </c>
      <c r="BF122" s="748" t="str">
        <f t="shared" si="117"/>
        <v>OK</v>
      </c>
    </row>
    <row r="123" spans="1:58" s="548" customFormat="1" ht="9.75" thickBot="1">
      <c r="A123" s="551"/>
      <c r="B123" s="986">
        <v>1</v>
      </c>
      <c r="C123" s="727">
        <f t="shared" si="113"/>
        <v>0.55</v>
      </c>
      <c r="D123" s="551"/>
      <c r="E123" s="697" t="s">
        <v>233</v>
      </c>
      <c r="F123" s="967" t="s">
        <v>225</v>
      </c>
      <c r="G123" s="773" t="s">
        <v>163</v>
      </c>
      <c r="H123" s="848">
        <v>22</v>
      </c>
      <c r="I123" s="848"/>
      <c r="J123" s="834">
        <v>6.49</v>
      </c>
      <c r="K123" s="834">
        <v>13.7</v>
      </c>
      <c r="L123" s="968">
        <v>0.23</v>
      </c>
      <c r="M123" s="834"/>
      <c r="N123" s="973"/>
      <c r="O123" s="807" t="str">
        <f t="shared" si="90"/>
        <v>NO</v>
      </c>
      <c r="P123" s="743">
        <v>50</v>
      </c>
      <c r="Q123" s="584">
        <v>1.5</v>
      </c>
      <c r="R123" s="743">
        <v>4</v>
      </c>
      <c r="S123" s="701">
        <v>4</v>
      </c>
      <c r="T123" s="743">
        <v>115</v>
      </c>
      <c r="U123" s="706">
        <v>105</v>
      </c>
      <c r="V123" s="701">
        <v>25</v>
      </c>
      <c r="W123" s="747">
        <f t="shared" si="114"/>
        <v>75</v>
      </c>
      <c r="X123" s="764">
        <f t="shared" si="91"/>
        <v>324.5</v>
      </c>
      <c r="Y123" s="765">
        <f t="shared" si="92"/>
        <v>1.272549019607843</v>
      </c>
      <c r="Z123" s="969">
        <f t="shared" si="93"/>
        <v>248.57654411764702</v>
      </c>
      <c r="AA123" s="740">
        <f t="shared" si="94"/>
        <v>1</v>
      </c>
      <c r="AB123" s="970">
        <f t="shared" si="95"/>
        <v>94.53</v>
      </c>
      <c r="AC123" s="584">
        <v>17.2</v>
      </c>
      <c r="AD123" s="742">
        <f t="shared" si="96"/>
        <v>37.73255813953489</v>
      </c>
      <c r="AE123" s="743">
        <v>30</v>
      </c>
      <c r="AF123" s="743">
        <v>1.6</v>
      </c>
      <c r="AG123" s="706">
        <v>29</v>
      </c>
      <c r="AH123" s="706">
        <v>520</v>
      </c>
      <c r="AI123" s="912">
        <f t="shared" si="97"/>
        <v>1072.25</v>
      </c>
      <c r="AJ123" s="706">
        <v>80</v>
      </c>
      <c r="AK123" s="890">
        <f t="shared" si="98"/>
        <v>0.9671371656006361</v>
      </c>
      <c r="AL123" s="742">
        <f t="shared" si="99"/>
        <v>676.9960159204453</v>
      </c>
      <c r="AM123" s="742">
        <f t="shared" si="100"/>
        <v>2369.8936254727123</v>
      </c>
      <c r="AN123" s="869">
        <f t="shared" si="101"/>
        <v>1501.1499999999999</v>
      </c>
      <c r="AO123" s="890">
        <f t="shared" si="102"/>
        <v>185.14793949005568</v>
      </c>
      <c r="AP123" s="787">
        <f t="shared" si="103"/>
        <v>29.623670318408905</v>
      </c>
      <c r="AQ123" s="971" t="str">
        <f t="shared" si="104"/>
        <v>OK</v>
      </c>
      <c r="AR123" s="916">
        <f t="shared" si="105"/>
        <v>289.75</v>
      </c>
      <c r="AS123" s="936">
        <f t="shared" si="106"/>
        <v>24.145833333333332</v>
      </c>
      <c r="AT123" s="742">
        <f t="shared" si="107"/>
        <v>700</v>
      </c>
      <c r="AU123" s="742">
        <f t="shared" si="108"/>
        <v>58.333333333333336</v>
      </c>
      <c r="AV123" s="706">
        <v>199</v>
      </c>
      <c r="AW123" s="917">
        <f t="shared" si="109"/>
        <v>22.63671875</v>
      </c>
      <c r="AX123" s="803"/>
      <c r="AY123" s="919">
        <v>0</v>
      </c>
      <c r="AZ123" s="920">
        <f t="shared" si="115"/>
        <v>3.3637254901960785</v>
      </c>
      <c r="BA123" s="941">
        <v>535</v>
      </c>
      <c r="BB123" s="937">
        <f t="shared" si="110"/>
        <v>0.4412806895468722</v>
      </c>
      <c r="BC123" s="917">
        <f t="shared" si="111"/>
        <v>0.39654165323880114</v>
      </c>
      <c r="BD123" s="972">
        <f t="shared" si="112"/>
        <v>0.75</v>
      </c>
      <c r="BE123" s="915" t="str">
        <f t="shared" si="116"/>
        <v>OK</v>
      </c>
      <c r="BF123" s="915" t="str">
        <f t="shared" si="117"/>
        <v>OK</v>
      </c>
    </row>
    <row r="124" spans="1:58" s="548" customFormat="1" ht="9">
      <c r="A124" s="551"/>
      <c r="B124" s="911">
        <v>1</v>
      </c>
      <c r="C124" s="727">
        <f t="shared" si="113"/>
        <v>0.715</v>
      </c>
      <c r="D124" s="551"/>
      <c r="E124" s="953" t="s">
        <v>204</v>
      </c>
      <c r="F124" s="856" t="s">
        <v>234</v>
      </c>
      <c r="G124" s="863" t="s">
        <v>170</v>
      </c>
      <c r="H124" s="830">
        <v>26</v>
      </c>
      <c r="I124" s="830" t="s">
        <v>89</v>
      </c>
      <c r="J124" s="831">
        <v>7.68</v>
      </c>
      <c r="K124" s="831">
        <v>15.7</v>
      </c>
      <c r="L124" s="703">
        <v>0.25</v>
      </c>
      <c r="M124" s="831">
        <v>56.8</v>
      </c>
      <c r="N124" s="832">
        <f>IF(M124&lt;260,5,"NO")</f>
        <v>5</v>
      </c>
      <c r="O124" s="833">
        <f t="shared" si="90"/>
        <v>1</v>
      </c>
      <c r="P124" s="568">
        <v>50</v>
      </c>
      <c r="Q124" s="561">
        <v>1.5</v>
      </c>
      <c r="R124" s="568">
        <v>4</v>
      </c>
      <c r="S124" s="705">
        <v>4</v>
      </c>
      <c r="T124" s="568">
        <v>115</v>
      </c>
      <c r="U124" s="839">
        <v>117</v>
      </c>
      <c r="V124" s="705">
        <v>27.5</v>
      </c>
      <c r="W124" s="928">
        <f>MIN((V124/4)*12,U124)</f>
        <v>82.5</v>
      </c>
      <c r="X124" s="954">
        <f t="shared" si="91"/>
        <v>384</v>
      </c>
      <c r="Y124" s="955">
        <f t="shared" si="92"/>
        <v>1.3689839572192513</v>
      </c>
      <c r="Z124" s="956">
        <f t="shared" si="93"/>
        <v>321.5666310160428</v>
      </c>
      <c r="AA124" s="711">
        <f t="shared" si="94"/>
        <v>0.9</v>
      </c>
      <c r="AB124" s="712">
        <f t="shared" si="95"/>
        <v>105.975</v>
      </c>
      <c r="AC124" s="561">
        <v>17.2</v>
      </c>
      <c r="AD124" s="838">
        <f t="shared" si="96"/>
        <v>44.651162790697676</v>
      </c>
      <c r="AE124" s="568">
        <v>30</v>
      </c>
      <c r="AF124" s="568">
        <v>1.6</v>
      </c>
      <c r="AG124" s="839">
        <v>29</v>
      </c>
      <c r="AH124" s="839">
        <v>520</v>
      </c>
      <c r="AI124" s="840">
        <f t="shared" si="97"/>
        <v>1136.85</v>
      </c>
      <c r="AJ124" s="839">
        <v>125</v>
      </c>
      <c r="AK124" s="707">
        <f t="shared" si="98"/>
        <v>0.8977502756312957</v>
      </c>
      <c r="AL124" s="838">
        <f t="shared" si="99"/>
        <v>1094.1331484256416</v>
      </c>
      <c r="AM124" s="838">
        <f t="shared" si="100"/>
        <v>3114.8330374810266</v>
      </c>
      <c r="AN124" s="713">
        <f t="shared" si="101"/>
        <v>1591.5899999999997</v>
      </c>
      <c r="AO124" s="707">
        <f t="shared" si="102"/>
        <v>294.4490605743783</v>
      </c>
      <c r="AP124" s="741">
        <f t="shared" si="103"/>
        <v>42.82895426536412</v>
      </c>
      <c r="AQ124" s="957" t="str">
        <f t="shared" si="104"/>
        <v>OK</v>
      </c>
      <c r="AR124" s="958">
        <f t="shared" si="105"/>
        <v>324.35</v>
      </c>
      <c r="AS124" s="871">
        <f t="shared" si="106"/>
        <v>27.02916666666667</v>
      </c>
      <c r="AT124" s="838">
        <f t="shared" si="107"/>
        <v>1218.75</v>
      </c>
      <c r="AU124" s="838">
        <f t="shared" si="108"/>
        <v>101.5625</v>
      </c>
      <c r="AV124" s="839">
        <v>245</v>
      </c>
      <c r="AW124" s="959">
        <f t="shared" si="109"/>
        <v>30.6612109375</v>
      </c>
      <c r="AX124" s="557"/>
      <c r="AY124" s="960">
        <v>0</v>
      </c>
      <c r="AZ124" s="961">
        <f>S124-Y124/2</f>
        <v>3.3155080213903743</v>
      </c>
      <c r="BA124" s="569">
        <v>780</v>
      </c>
      <c r="BB124" s="962">
        <f t="shared" si="110"/>
        <v>0.5874394565611805</v>
      </c>
      <c r="BC124" s="959">
        <f t="shared" si="111"/>
        <v>0.693322543440194</v>
      </c>
      <c r="BD124" s="710">
        <f t="shared" si="112"/>
        <v>0.8250000000000001</v>
      </c>
      <c r="BE124" s="963" t="str">
        <f aca="true" t="shared" si="118" ref="BE124:BE129">IF(BB124&gt;BD124,"NG","OK")</f>
        <v>OK</v>
      </c>
      <c r="BF124" s="963" t="str">
        <f aca="true" t="shared" si="119" ref="BF124:BF129">IF(BC124&gt;BD124,"NG","OK")</f>
        <v>OK</v>
      </c>
    </row>
    <row r="125" spans="1:58" s="548" customFormat="1" ht="9.75" thickBot="1">
      <c r="A125" s="551"/>
      <c r="B125" s="987">
        <v>1</v>
      </c>
      <c r="C125" s="846">
        <f t="shared" si="113"/>
        <v>0.715</v>
      </c>
      <c r="D125" s="551"/>
      <c r="E125" s="964" t="s">
        <v>234</v>
      </c>
      <c r="F125" s="940" t="s">
        <v>205</v>
      </c>
      <c r="G125" s="965" t="s">
        <v>170</v>
      </c>
      <c r="H125" s="760">
        <v>26</v>
      </c>
      <c r="I125" s="760" t="s">
        <v>89</v>
      </c>
      <c r="J125" s="735">
        <v>7.68</v>
      </c>
      <c r="K125" s="735">
        <v>15.7</v>
      </c>
      <c r="L125" s="730">
        <v>0.25</v>
      </c>
      <c r="M125" s="735">
        <v>56.8</v>
      </c>
      <c r="N125" s="844">
        <f>IF(M125&lt;260,5,"NO")</f>
        <v>5</v>
      </c>
      <c r="O125" s="761">
        <f t="shared" si="90"/>
        <v>1</v>
      </c>
      <c r="P125" s="762">
        <v>50</v>
      </c>
      <c r="Q125" s="763">
        <v>1.5</v>
      </c>
      <c r="R125" s="762">
        <v>4</v>
      </c>
      <c r="S125" s="735">
        <v>4</v>
      </c>
      <c r="T125" s="762">
        <v>115</v>
      </c>
      <c r="U125" s="746">
        <v>117</v>
      </c>
      <c r="V125" s="735">
        <v>27.5</v>
      </c>
      <c r="W125" s="736">
        <f>MIN((V125/4)*12,U125)</f>
        <v>82.5</v>
      </c>
      <c r="X125" s="843">
        <f t="shared" si="91"/>
        <v>384</v>
      </c>
      <c r="Y125" s="738">
        <f t="shared" si="92"/>
        <v>1.3689839572192513</v>
      </c>
      <c r="Z125" s="766">
        <f t="shared" si="93"/>
        <v>321.5666310160428</v>
      </c>
      <c r="AA125" s="767">
        <f t="shared" si="94"/>
        <v>0.9</v>
      </c>
      <c r="AB125" s="717">
        <f t="shared" si="95"/>
        <v>105.975</v>
      </c>
      <c r="AC125" s="763">
        <v>17.2</v>
      </c>
      <c r="AD125" s="751">
        <f t="shared" si="96"/>
        <v>44.651162790697676</v>
      </c>
      <c r="AE125" s="762">
        <v>30</v>
      </c>
      <c r="AF125" s="762">
        <v>1.6</v>
      </c>
      <c r="AG125" s="746">
        <v>29</v>
      </c>
      <c r="AH125" s="746">
        <v>520</v>
      </c>
      <c r="AI125" s="768">
        <f t="shared" si="97"/>
        <v>1136.85</v>
      </c>
      <c r="AJ125" s="746">
        <v>125</v>
      </c>
      <c r="AK125" s="736">
        <f t="shared" si="98"/>
        <v>0.8977502756312957</v>
      </c>
      <c r="AL125" s="751">
        <f t="shared" si="99"/>
        <v>1094.1331484256416</v>
      </c>
      <c r="AM125" s="751">
        <f t="shared" si="100"/>
        <v>3114.8330374810266</v>
      </c>
      <c r="AN125" s="742">
        <f t="shared" si="101"/>
        <v>1591.5899999999997</v>
      </c>
      <c r="AO125" s="736">
        <f t="shared" si="102"/>
        <v>294.4490605743783</v>
      </c>
      <c r="AP125" s="717">
        <f t="shared" si="103"/>
        <v>42.82895426536412</v>
      </c>
      <c r="AQ125" s="966" t="str">
        <f t="shared" si="104"/>
        <v>OK</v>
      </c>
      <c r="AR125" s="749">
        <f t="shared" si="105"/>
        <v>324.35</v>
      </c>
      <c r="AS125" s="750">
        <f t="shared" si="106"/>
        <v>27.02916666666667</v>
      </c>
      <c r="AT125" s="751">
        <f t="shared" si="107"/>
        <v>1218.75</v>
      </c>
      <c r="AU125" s="751">
        <f t="shared" si="108"/>
        <v>101.5625</v>
      </c>
      <c r="AV125" s="746">
        <v>245</v>
      </c>
      <c r="AW125" s="752">
        <f t="shared" si="109"/>
        <v>30.6612109375</v>
      </c>
      <c r="AX125" s="726"/>
      <c r="AY125" s="753">
        <v>0</v>
      </c>
      <c r="AZ125" s="754">
        <f>S125-Y125/2</f>
        <v>3.3155080213903743</v>
      </c>
      <c r="BA125" s="755">
        <v>780</v>
      </c>
      <c r="BB125" s="756">
        <f t="shared" si="110"/>
        <v>0.5874394565611805</v>
      </c>
      <c r="BC125" s="752">
        <f t="shared" si="111"/>
        <v>0.693322543440194</v>
      </c>
      <c r="BD125" s="757">
        <f t="shared" si="112"/>
        <v>0.8250000000000001</v>
      </c>
      <c r="BE125" s="748" t="str">
        <f t="shared" si="118"/>
        <v>OK</v>
      </c>
      <c r="BF125" s="748" t="str">
        <f t="shared" si="119"/>
        <v>OK</v>
      </c>
    </row>
    <row r="126" spans="2:58" s="548" customFormat="1" ht="9">
      <c r="B126" s="675">
        <v>1</v>
      </c>
      <c r="C126" s="696">
        <f t="shared" si="113"/>
        <v>0.605</v>
      </c>
      <c r="D126" s="551"/>
      <c r="E126" s="728" t="s">
        <v>206</v>
      </c>
      <c r="F126" s="940" t="s">
        <v>235</v>
      </c>
      <c r="G126" s="965" t="s">
        <v>163</v>
      </c>
      <c r="H126" s="760">
        <v>22</v>
      </c>
      <c r="I126" s="760"/>
      <c r="J126" s="735">
        <v>6.49</v>
      </c>
      <c r="K126" s="735">
        <v>13.7</v>
      </c>
      <c r="L126" s="730">
        <v>0.23</v>
      </c>
      <c r="M126" s="735"/>
      <c r="N126" s="844"/>
      <c r="O126" s="761" t="str">
        <f t="shared" si="90"/>
        <v>NO</v>
      </c>
      <c r="P126" s="762">
        <v>50</v>
      </c>
      <c r="Q126" s="763">
        <v>1.5</v>
      </c>
      <c r="R126" s="762">
        <v>4</v>
      </c>
      <c r="S126" s="735">
        <v>4</v>
      </c>
      <c r="T126" s="762">
        <v>115</v>
      </c>
      <c r="U126" s="746">
        <v>117</v>
      </c>
      <c r="V126" s="735">
        <v>27.5</v>
      </c>
      <c r="W126" s="736">
        <f>MIN((V126/4)*12,U126)</f>
        <v>82.5</v>
      </c>
      <c r="X126" s="843">
        <f t="shared" si="91"/>
        <v>324.5</v>
      </c>
      <c r="Y126" s="738">
        <f t="shared" si="92"/>
        <v>1.1568627450980393</v>
      </c>
      <c r="Z126" s="766">
        <f t="shared" si="93"/>
        <v>249.9843014705882</v>
      </c>
      <c r="AA126" s="767">
        <f t="shared" si="94"/>
        <v>1</v>
      </c>
      <c r="AB126" s="717">
        <f t="shared" si="95"/>
        <v>94.53</v>
      </c>
      <c r="AC126" s="763">
        <v>17.2</v>
      </c>
      <c r="AD126" s="751">
        <f t="shared" si="96"/>
        <v>37.73255813953489</v>
      </c>
      <c r="AE126" s="762">
        <v>30</v>
      </c>
      <c r="AF126" s="762">
        <v>1.6</v>
      </c>
      <c r="AG126" s="746">
        <v>29</v>
      </c>
      <c r="AH126" s="746">
        <v>520</v>
      </c>
      <c r="AI126" s="768">
        <f t="shared" si="97"/>
        <v>1132.85</v>
      </c>
      <c r="AJ126" s="746">
        <v>80</v>
      </c>
      <c r="AK126" s="736">
        <f t="shared" si="98"/>
        <v>0.8977502756312957</v>
      </c>
      <c r="AL126" s="751">
        <f t="shared" si="99"/>
        <v>700.2452149924106</v>
      </c>
      <c r="AM126" s="751">
        <f t="shared" si="100"/>
        <v>2479.812343987857</v>
      </c>
      <c r="AN126" s="742">
        <f t="shared" si="101"/>
        <v>1585.9899999999998</v>
      </c>
      <c r="AO126" s="736">
        <f t="shared" si="102"/>
        <v>234.4197606426021</v>
      </c>
      <c r="AP126" s="717">
        <f t="shared" si="103"/>
        <v>34.097419729833035</v>
      </c>
      <c r="AQ126" s="966" t="str">
        <f t="shared" si="104"/>
        <v>OK</v>
      </c>
      <c r="AR126" s="749">
        <f t="shared" si="105"/>
        <v>320.35</v>
      </c>
      <c r="AS126" s="750">
        <f t="shared" si="106"/>
        <v>26.695833333333336</v>
      </c>
      <c r="AT126" s="751">
        <f t="shared" si="107"/>
        <v>780</v>
      </c>
      <c r="AU126" s="751">
        <f t="shared" si="108"/>
        <v>65</v>
      </c>
      <c r="AV126" s="746">
        <v>199</v>
      </c>
      <c r="AW126" s="752">
        <f t="shared" si="109"/>
        <v>30.2830859375</v>
      </c>
      <c r="AX126" s="726"/>
      <c r="AY126" s="753">
        <v>0</v>
      </c>
      <c r="AZ126" s="754">
        <f>S126-Y126/2</f>
        <v>3.4215686274509802</v>
      </c>
      <c r="BA126" s="755">
        <v>538</v>
      </c>
      <c r="BB126" s="756">
        <f t="shared" si="110"/>
        <v>0.7143103575190067</v>
      </c>
      <c r="BC126" s="752">
        <f t="shared" si="111"/>
        <v>0.6433208432813101</v>
      </c>
      <c r="BD126" s="757">
        <f t="shared" si="112"/>
        <v>0.8250000000000001</v>
      </c>
      <c r="BE126" s="748" t="str">
        <f t="shared" si="118"/>
        <v>OK</v>
      </c>
      <c r="BF126" s="748" t="str">
        <f t="shared" si="119"/>
        <v>OK</v>
      </c>
    </row>
    <row r="127" spans="2:59" s="548" customFormat="1" ht="9.75" thickBot="1">
      <c r="B127" s="986">
        <v>1</v>
      </c>
      <c r="C127" s="727">
        <f t="shared" si="113"/>
        <v>0.605</v>
      </c>
      <c r="D127" s="551"/>
      <c r="E127" s="808" t="s">
        <v>235</v>
      </c>
      <c r="F127" s="975" t="s">
        <v>207</v>
      </c>
      <c r="G127" s="773" t="s">
        <v>163</v>
      </c>
      <c r="H127" s="774">
        <v>22</v>
      </c>
      <c r="I127" s="774"/>
      <c r="J127" s="776">
        <v>6.49</v>
      </c>
      <c r="K127" s="776">
        <v>13.7</v>
      </c>
      <c r="L127" s="777">
        <v>0.23</v>
      </c>
      <c r="M127" s="776"/>
      <c r="N127" s="811"/>
      <c r="O127" s="778" t="str">
        <f t="shared" si="90"/>
        <v>NO</v>
      </c>
      <c r="P127" s="605">
        <v>50</v>
      </c>
      <c r="Q127" s="666">
        <v>1.5</v>
      </c>
      <c r="R127" s="605">
        <v>4</v>
      </c>
      <c r="S127" s="822">
        <v>4</v>
      </c>
      <c r="T127" s="605">
        <v>115</v>
      </c>
      <c r="U127" s="789">
        <v>117</v>
      </c>
      <c r="V127" s="822">
        <v>27.5</v>
      </c>
      <c r="W127" s="792">
        <f>MIN((V127/4)*12,U127)</f>
        <v>82.5</v>
      </c>
      <c r="X127" s="826">
        <f t="shared" si="91"/>
        <v>324.5</v>
      </c>
      <c r="Y127" s="827">
        <f t="shared" si="92"/>
        <v>1.1568627450980393</v>
      </c>
      <c r="Z127" s="976">
        <f t="shared" si="93"/>
        <v>249.9843014705882</v>
      </c>
      <c r="AA127" s="786">
        <f t="shared" si="94"/>
        <v>1</v>
      </c>
      <c r="AB127" s="813">
        <f t="shared" si="95"/>
        <v>94.53</v>
      </c>
      <c r="AC127" s="666">
        <v>17.2</v>
      </c>
      <c r="AD127" s="793">
        <f t="shared" si="96"/>
        <v>37.73255813953489</v>
      </c>
      <c r="AE127" s="605">
        <v>30</v>
      </c>
      <c r="AF127" s="605">
        <v>1.6</v>
      </c>
      <c r="AG127" s="789">
        <v>29</v>
      </c>
      <c r="AH127" s="789">
        <v>520</v>
      </c>
      <c r="AI127" s="791">
        <f t="shared" si="97"/>
        <v>1132.85</v>
      </c>
      <c r="AJ127" s="789">
        <v>80</v>
      </c>
      <c r="AK127" s="890">
        <f t="shared" si="98"/>
        <v>0.8977502756312957</v>
      </c>
      <c r="AL127" s="793">
        <f t="shared" si="99"/>
        <v>700.2452149924106</v>
      </c>
      <c r="AM127" s="793">
        <f t="shared" si="100"/>
        <v>2479.812343987857</v>
      </c>
      <c r="AN127" s="869">
        <f t="shared" si="101"/>
        <v>1585.9899999999998</v>
      </c>
      <c r="AO127" s="890">
        <f t="shared" si="102"/>
        <v>234.4197606426021</v>
      </c>
      <c r="AP127" s="787">
        <f t="shared" si="103"/>
        <v>34.097419729833035</v>
      </c>
      <c r="AQ127" s="794" t="str">
        <f t="shared" si="104"/>
        <v>OK</v>
      </c>
      <c r="AR127" s="795">
        <f t="shared" si="105"/>
        <v>320.35</v>
      </c>
      <c r="AS127" s="796">
        <f t="shared" si="106"/>
        <v>26.695833333333336</v>
      </c>
      <c r="AT127" s="793">
        <f t="shared" si="107"/>
        <v>780</v>
      </c>
      <c r="AU127" s="793">
        <f t="shared" si="108"/>
        <v>65</v>
      </c>
      <c r="AV127" s="789">
        <v>199</v>
      </c>
      <c r="AW127" s="814">
        <f t="shared" si="109"/>
        <v>30.2830859375</v>
      </c>
      <c r="AX127" s="592"/>
      <c r="AY127" s="815">
        <v>0</v>
      </c>
      <c r="AZ127" s="816">
        <f>S127-Y127/2</f>
        <v>3.4215686274509802</v>
      </c>
      <c r="BA127" s="817">
        <v>538</v>
      </c>
      <c r="BB127" s="818">
        <f t="shared" si="110"/>
        <v>0.7143103575190067</v>
      </c>
      <c r="BC127" s="814">
        <f t="shared" si="111"/>
        <v>0.6433208432813101</v>
      </c>
      <c r="BD127" s="785">
        <f t="shared" si="112"/>
        <v>0.8250000000000001</v>
      </c>
      <c r="BE127" s="820" t="str">
        <f t="shared" si="118"/>
        <v>OK</v>
      </c>
      <c r="BF127" s="794" t="str">
        <f t="shared" si="119"/>
        <v>OK</v>
      </c>
      <c r="BG127" s="977"/>
    </row>
    <row r="128" spans="2:59" s="548" customFormat="1" ht="9">
      <c r="B128" s="911">
        <v>1</v>
      </c>
      <c r="C128" s="727">
        <f t="shared" si="113"/>
        <v>0.05</v>
      </c>
      <c r="D128" s="551"/>
      <c r="E128" s="953" t="s">
        <v>162</v>
      </c>
      <c r="F128" s="856" t="s">
        <v>228</v>
      </c>
      <c r="G128" s="863" t="s">
        <v>236</v>
      </c>
      <c r="H128" s="830">
        <v>10</v>
      </c>
      <c r="I128" s="830" t="s">
        <v>118</v>
      </c>
      <c r="J128" s="831">
        <v>2.96</v>
      </c>
      <c r="K128" s="831">
        <v>7.89</v>
      </c>
      <c r="L128" s="703">
        <v>0.17</v>
      </c>
      <c r="M128" s="831"/>
      <c r="N128" s="832"/>
      <c r="O128" s="833" t="str">
        <f t="shared" si="90"/>
        <v>NO</v>
      </c>
      <c r="P128" s="568">
        <v>50</v>
      </c>
      <c r="Q128" s="561">
        <v>1.5</v>
      </c>
      <c r="R128" s="568">
        <v>4</v>
      </c>
      <c r="S128" s="705">
        <v>4</v>
      </c>
      <c r="T128" s="568">
        <v>115</v>
      </c>
      <c r="U128" s="839">
        <v>0.1</v>
      </c>
      <c r="V128" s="705">
        <v>5</v>
      </c>
      <c r="X128" s="978" t="s">
        <v>237</v>
      </c>
      <c r="Y128" s="979" t="s">
        <v>238</v>
      </c>
      <c r="Z128" s="980">
        <v>28.5</v>
      </c>
      <c r="AA128" s="711">
        <f t="shared" si="94"/>
        <v>1</v>
      </c>
      <c r="AB128" s="712">
        <f t="shared" si="95"/>
        <v>40.239000000000004</v>
      </c>
      <c r="AC128" s="561">
        <v>17.2</v>
      </c>
      <c r="AD128" s="838"/>
      <c r="AE128" s="568">
        <v>30</v>
      </c>
      <c r="AF128" s="568">
        <v>1.6</v>
      </c>
      <c r="AG128" s="839">
        <v>29</v>
      </c>
      <c r="AH128" s="839">
        <v>520</v>
      </c>
      <c r="AI128" s="840">
        <f t="shared" si="97"/>
        <v>530.505</v>
      </c>
      <c r="AJ128" s="839">
        <v>80</v>
      </c>
      <c r="AK128" s="707">
        <f t="shared" si="98"/>
        <v>1</v>
      </c>
      <c r="AL128" s="838">
        <f t="shared" si="99"/>
        <v>0.6666666666666666</v>
      </c>
      <c r="AM128" s="838">
        <f t="shared" si="100"/>
        <v>637.6726666666667</v>
      </c>
      <c r="AN128" s="713">
        <f t="shared" si="101"/>
        <v>742.707</v>
      </c>
      <c r="AO128" s="707">
        <f t="shared" si="102"/>
        <v>2.3209593749999997</v>
      </c>
      <c r="AP128" s="741">
        <f t="shared" si="103"/>
        <v>1.8567675</v>
      </c>
      <c r="AQ128" s="957" t="str">
        <f t="shared" si="104"/>
        <v>OK</v>
      </c>
      <c r="AR128" s="958">
        <f t="shared" si="105"/>
        <v>10.255</v>
      </c>
      <c r="AS128" s="871">
        <f t="shared" si="106"/>
        <v>0.8545833333333334</v>
      </c>
      <c r="AT128" s="838">
        <f t="shared" si="107"/>
        <v>0.6666666666666666</v>
      </c>
      <c r="AU128" s="838">
        <f t="shared" si="108"/>
        <v>0.05555555555555555</v>
      </c>
      <c r="AV128" s="839">
        <v>30.8</v>
      </c>
      <c r="AW128" s="959">
        <f t="shared" si="109"/>
        <v>0.032046875</v>
      </c>
      <c r="AX128" s="557"/>
      <c r="AY128" s="960">
        <v>0</v>
      </c>
      <c r="AZ128" s="961"/>
      <c r="BA128" s="569">
        <v>30.8</v>
      </c>
      <c r="BB128" s="962">
        <f t="shared" si="110"/>
        <v>0.00016145425156739813</v>
      </c>
      <c r="BC128" s="959">
        <f t="shared" si="111"/>
        <v>1.0495969547693685E-05</v>
      </c>
      <c r="BD128" s="710">
        <f t="shared" si="112"/>
        <v>0.15000000000000002</v>
      </c>
      <c r="BE128" s="963" t="str">
        <f t="shared" si="118"/>
        <v>OK</v>
      </c>
      <c r="BF128" s="963" t="str">
        <f t="shared" si="119"/>
        <v>OK</v>
      </c>
      <c r="BG128" s="548" t="s">
        <v>239</v>
      </c>
    </row>
    <row r="129" spans="2:59" s="548" customFormat="1" ht="9.75" thickBot="1">
      <c r="B129" s="987">
        <v>1</v>
      </c>
      <c r="C129" s="846">
        <f t="shared" si="113"/>
        <v>0.05</v>
      </c>
      <c r="D129" s="551"/>
      <c r="E129" s="771" t="s">
        <v>178</v>
      </c>
      <c r="F129" s="772" t="s">
        <v>229</v>
      </c>
      <c r="G129" s="773" t="s">
        <v>236</v>
      </c>
      <c r="H129" s="774">
        <v>10</v>
      </c>
      <c r="I129" s="774" t="s">
        <v>118</v>
      </c>
      <c r="J129" s="776">
        <v>2.96</v>
      </c>
      <c r="K129" s="776">
        <v>7.89</v>
      </c>
      <c r="L129" s="777">
        <v>0.17</v>
      </c>
      <c r="M129" s="776"/>
      <c r="N129" s="811"/>
      <c r="O129" s="778" t="str">
        <f t="shared" si="90"/>
        <v>NO</v>
      </c>
      <c r="P129" s="779">
        <v>50</v>
      </c>
      <c r="Q129" s="780">
        <v>1.5</v>
      </c>
      <c r="R129" s="779">
        <v>4</v>
      </c>
      <c r="S129" s="776">
        <v>4</v>
      </c>
      <c r="T129" s="779">
        <v>115</v>
      </c>
      <c r="U129" s="781">
        <v>0.1</v>
      </c>
      <c r="V129" s="776">
        <v>5</v>
      </c>
      <c r="W129" s="809"/>
      <c r="X129" s="981" t="s">
        <v>237</v>
      </c>
      <c r="Y129" s="982" t="s">
        <v>238</v>
      </c>
      <c r="Z129" s="983">
        <v>28.5</v>
      </c>
      <c r="AA129" s="786">
        <f t="shared" si="94"/>
        <v>1</v>
      </c>
      <c r="AB129" s="984">
        <f t="shared" si="95"/>
        <v>40.239000000000004</v>
      </c>
      <c r="AC129" s="780">
        <v>17.2</v>
      </c>
      <c r="AD129" s="788"/>
      <c r="AE129" s="779">
        <v>30</v>
      </c>
      <c r="AF129" s="779">
        <v>1.6</v>
      </c>
      <c r="AG129" s="781">
        <v>29</v>
      </c>
      <c r="AH129" s="781">
        <v>520</v>
      </c>
      <c r="AI129" s="904">
        <f t="shared" si="97"/>
        <v>530.505</v>
      </c>
      <c r="AJ129" s="781">
        <v>80</v>
      </c>
      <c r="AK129" s="782">
        <f t="shared" si="98"/>
        <v>1</v>
      </c>
      <c r="AL129" s="788">
        <f t="shared" si="99"/>
        <v>0.6666666666666666</v>
      </c>
      <c r="AM129" s="788">
        <f t="shared" si="100"/>
        <v>637.6726666666667</v>
      </c>
      <c r="AN129" s="788">
        <f t="shared" si="101"/>
        <v>742.707</v>
      </c>
      <c r="AO129" s="792">
        <f t="shared" si="102"/>
        <v>2.3209593749999997</v>
      </c>
      <c r="AP129" s="787">
        <f t="shared" si="103"/>
        <v>1.8567675</v>
      </c>
      <c r="AQ129" s="985" t="str">
        <f t="shared" si="104"/>
        <v>OK</v>
      </c>
      <c r="AR129" s="948">
        <f t="shared" si="105"/>
        <v>10.255</v>
      </c>
      <c r="AS129" s="949">
        <f t="shared" si="106"/>
        <v>0.8545833333333334</v>
      </c>
      <c r="AT129" s="788">
        <f t="shared" si="107"/>
        <v>0.6666666666666666</v>
      </c>
      <c r="AU129" s="788">
        <f t="shared" si="108"/>
        <v>0.05555555555555555</v>
      </c>
      <c r="AV129" s="781">
        <v>30.8</v>
      </c>
      <c r="AW129" s="797">
        <f t="shared" si="109"/>
        <v>0.032046875</v>
      </c>
      <c r="AX129" s="769"/>
      <c r="AY129" s="798">
        <v>0</v>
      </c>
      <c r="AZ129" s="799"/>
      <c r="BA129" s="800">
        <v>30.8</v>
      </c>
      <c r="BB129" s="801">
        <f t="shared" si="110"/>
        <v>0.00016145425156739813</v>
      </c>
      <c r="BC129" s="797">
        <f t="shared" si="111"/>
        <v>1.0495969547693685E-05</v>
      </c>
      <c r="BD129" s="785">
        <f t="shared" si="112"/>
        <v>0.15000000000000002</v>
      </c>
      <c r="BE129" s="802" t="str">
        <f t="shared" si="118"/>
        <v>OK</v>
      </c>
      <c r="BF129" s="802" t="str">
        <f t="shared" si="119"/>
        <v>OK</v>
      </c>
      <c r="BG129" s="548" t="s">
        <v>239</v>
      </c>
    </row>
    <row r="130" spans="2:10" s="548" customFormat="1" ht="9">
      <c r="B130" s="580"/>
      <c r="C130" s="647"/>
      <c r="E130" s="665"/>
      <c r="F130" s="665"/>
      <c r="J130" s="656"/>
    </row>
    <row r="131" spans="2:10" s="548" customFormat="1" ht="9">
      <c r="B131" s="580"/>
      <c r="C131" s="647"/>
      <c r="E131" s="665"/>
      <c r="F131" s="665"/>
      <c r="J131" s="656"/>
    </row>
    <row r="132" spans="2:10" s="548" customFormat="1" ht="9">
      <c r="B132" s="580"/>
      <c r="C132" s="647"/>
      <c r="E132" s="665"/>
      <c r="F132" s="665"/>
      <c r="J132" s="656"/>
    </row>
    <row r="133" spans="3:10" s="548" customFormat="1" ht="9">
      <c r="C133" s="659"/>
      <c r="E133" s="665"/>
      <c r="F133" s="665"/>
      <c r="J133" s="656"/>
    </row>
    <row r="134" spans="3:10" s="548" customFormat="1" ht="9">
      <c r="C134" s="659"/>
      <c r="E134" s="665"/>
      <c r="F134" s="665"/>
      <c r="J134" s="656"/>
    </row>
    <row r="135" spans="2:10" s="548" customFormat="1" ht="9">
      <c r="B135" s="580"/>
      <c r="C135" s="659"/>
      <c r="E135" s="665"/>
      <c r="F135" s="665"/>
      <c r="J135" s="656"/>
    </row>
    <row r="136" spans="3:10" s="548" customFormat="1" ht="9">
      <c r="C136" s="659"/>
      <c r="E136" s="665"/>
      <c r="F136" s="665"/>
      <c r="J136" s="656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121"/>
  <sheetViews>
    <sheetView workbookViewId="0" topLeftCell="A49">
      <selection activeCell="C53" sqref="C53"/>
    </sheetView>
  </sheetViews>
  <sheetFormatPr defaultColWidth="9.140625" defaultRowHeight="12.75"/>
  <cols>
    <col min="1" max="1" width="1.1484375" style="8" customWidth="1"/>
    <col min="2" max="2" width="6.28125" style="8" customWidth="1"/>
    <col min="3" max="3" width="6.28125" style="494" customWidth="1"/>
    <col min="4" max="4" width="0.71875" style="8" customWidth="1"/>
    <col min="5" max="5" width="7.421875" style="75" customWidth="1"/>
    <col min="6" max="6" width="5.28125" style="75" customWidth="1"/>
    <col min="7" max="7" width="5.140625" style="8" customWidth="1"/>
    <col min="8" max="8" width="5.8515625" style="8" customWidth="1"/>
    <col min="9" max="9" width="5.00390625" style="8" bestFit="1" customWidth="1"/>
    <col min="10" max="10" width="5.421875" style="9" bestFit="1" customWidth="1"/>
    <col min="11" max="11" width="5.00390625" style="8" bestFit="1" customWidth="1"/>
    <col min="12" max="13" width="4.8515625" style="8" bestFit="1" customWidth="1"/>
    <col min="14" max="14" width="3.7109375" style="8" customWidth="1"/>
    <col min="15" max="15" width="4.8515625" style="8" bestFit="1" customWidth="1"/>
    <col min="16" max="16" width="6.00390625" style="8" bestFit="1" customWidth="1"/>
    <col min="17" max="17" width="5.7109375" style="8" bestFit="1" customWidth="1"/>
    <col min="18" max="18" width="5.57421875" style="8" customWidth="1"/>
    <col min="19" max="19" width="5.8515625" style="8" bestFit="1" customWidth="1"/>
    <col min="20" max="20" width="5.28125" style="8" customWidth="1"/>
    <col min="21" max="21" width="5.00390625" style="8" bestFit="1" customWidth="1"/>
    <col min="22" max="22" width="5.7109375" style="8" bestFit="1" customWidth="1"/>
    <col min="23" max="23" width="5.8515625" style="8" bestFit="1" customWidth="1"/>
    <col min="24" max="24" width="6.7109375" style="8" bestFit="1" customWidth="1"/>
    <col min="25" max="25" width="6.8515625" style="8" bestFit="1" customWidth="1"/>
    <col min="26" max="26" width="5.421875" style="8" customWidth="1"/>
    <col min="27" max="27" width="5.57421875" style="8" customWidth="1"/>
    <col min="28" max="28" width="6.8515625" style="8" bestFit="1" customWidth="1"/>
    <col min="29" max="29" width="6.7109375" style="8" bestFit="1" customWidth="1"/>
    <col min="30" max="30" width="6.00390625" style="8" bestFit="1" customWidth="1"/>
    <col min="31" max="31" width="6.8515625" style="8" bestFit="1" customWidth="1"/>
    <col min="32" max="32" width="4.8515625" style="8" customWidth="1"/>
    <col min="33" max="33" width="6.57421875" style="8" bestFit="1" customWidth="1"/>
    <col min="34" max="34" width="4.7109375" style="8" customWidth="1"/>
    <col min="35" max="35" width="5.421875" style="8" customWidth="1"/>
    <col min="36" max="38" width="6.57421875" style="8" bestFit="1" customWidth="1"/>
    <col min="39" max="39" width="5.7109375" style="8" bestFit="1" customWidth="1"/>
    <col min="40" max="40" width="6.140625" style="8" bestFit="1" customWidth="1"/>
    <col min="41" max="42" width="6.421875" style="8" bestFit="1" customWidth="1"/>
    <col min="43" max="44" width="7.421875" style="8" bestFit="1" customWidth="1"/>
    <col min="45" max="45" width="6.57421875" style="8" bestFit="1" customWidth="1"/>
    <col min="46" max="47" width="5.7109375" style="8" bestFit="1" customWidth="1"/>
    <col min="48" max="48" width="4.8515625" style="8" bestFit="1" customWidth="1"/>
    <col min="49" max="49" width="5.28125" style="8" bestFit="1" customWidth="1"/>
    <col min="50" max="50" width="4.8515625" style="8" bestFit="1" customWidth="1"/>
    <col min="51" max="51" width="6.28125" style="8" bestFit="1" customWidth="1"/>
    <col min="52" max="52" width="5.7109375" style="8" bestFit="1" customWidth="1"/>
    <col min="53" max="53" width="6.28125" style="8" bestFit="1" customWidth="1"/>
    <col min="54" max="54" width="7.421875" style="8" bestFit="1" customWidth="1"/>
    <col min="55" max="55" width="5.28125" style="8" bestFit="1" customWidth="1"/>
    <col min="56" max="56" width="5.140625" style="8" bestFit="1" customWidth="1"/>
    <col min="57" max="57" width="5.7109375" style="8" bestFit="1" customWidth="1"/>
    <col min="58" max="59" width="5.140625" style="8" bestFit="1" customWidth="1"/>
    <col min="60" max="60" width="6.28125" style="8" customWidth="1"/>
    <col min="61" max="61" width="4.421875" style="8" bestFit="1" customWidth="1"/>
    <col min="62" max="62" width="3.00390625" style="8" bestFit="1" customWidth="1"/>
    <col min="63" max="63" width="4.8515625" style="8" bestFit="1" customWidth="1"/>
    <col min="64" max="64" width="6.28125" style="8" bestFit="1" customWidth="1"/>
    <col min="65" max="65" width="5.28125" style="8" bestFit="1" customWidth="1"/>
    <col min="66" max="66" width="4.421875" style="8" bestFit="1" customWidth="1"/>
    <col min="67" max="67" width="5.00390625" style="8" bestFit="1" customWidth="1"/>
    <col min="68" max="70" width="5.140625" style="8" bestFit="1" customWidth="1"/>
    <col min="71" max="16384" width="9.140625" style="8" customWidth="1"/>
  </cols>
  <sheetData>
    <row r="1" spans="18:22" ht="3.75" customHeight="1">
      <c r="R1" s="13"/>
      <c r="S1" s="13"/>
      <c r="T1" s="13"/>
      <c r="U1" s="13"/>
      <c r="V1" s="13"/>
    </row>
    <row r="2" spans="5:22" ht="20.25">
      <c r="E2" s="96" t="s">
        <v>64</v>
      </c>
      <c r="V2" s="13"/>
    </row>
    <row r="3" spans="5:16" ht="11.25">
      <c r="E3" s="53" t="s">
        <v>55</v>
      </c>
      <c r="O3" s="241"/>
      <c r="P3" s="13"/>
    </row>
    <row r="4" spans="15:20" ht="11.25" customHeight="1">
      <c r="O4" s="283"/>
      <c r="P4" s="13"/>
      <c r="R4" s="53" t="s">
        <v>142</v>
      </c>
      <c r="S4" s="75"/>
      <c r="T4" s="97" t="s">
        <v>143</v>
      </c>
    </row>
    <row r="5" spans="5:20" ht="11.25" customHeight="1">
      <c r="E5" s="98" t="s">
        <v>77</v>
      </c>
      <c r="F5" s="97">
        <v>15</v>
      </c>
      <c r="G5" s="8" t="s">
        <v>66</v>
      </c>
      <c r="I5" s="9"/>
      <c r="J5" s="8"/>
      <c r="O5" s="241"/>
      <c r="P5" s="75"/>
      <c r="R5" s="75"/>
      <c r="S5" s="75"/>
      <c r="T5" s="75" t="s">
        <v>144</v>
      </c>
    </row>
    <row r="6" spans="6:19" ht="11.25">
      <c r="F6" s="75" t="s">
        <v>65</v>
      </c>
      <c r="I6" s="9"/>
      <c r="J6" s="8"/>
      <c r="P6" s="281"/>
      <c r="R6" s="75"/>
      <c r="S6" s="75"/>
    </row>
    <row r="7" spans="5:21" ht="11.25">
      <c r="E7" s="8"/>
      <c r="I7" s="9"/>
      <c r="J7" s="8"/>
      <c r="R7" s="53" t="s">
        <v>145</v>
      </c>
      <c r="S7" s="75"/>
      <c r="T7" s="53" t="s">
        <v>146</v>
      </c>
      <c r="U7" s="75"/>
    </row>
    <row r="8" spans="5:21" ht="11.25">
      <c r="E8" s="75" t="s">
        <v>68</v>
      </c>
      <c r="F8" s="75">
        <v>2</v>
      </c>
      <c r="G8" s="8" t="s">
        <v>151</v>
      </c>
      <c r="R8" s="53" t="s">
        <v>147</v>
      </c>
      <c r="S8" s="75"/>
      <c r="T8" s="53" t="s">
        <v>148</v>
      </c>
      <c r="U8" s="75"/>
    </row>
    <row r="9" spans="5:22" ht="11.25">
      <c r="E9" s="8"/>
      <c r="O9" s="283"/>
      <c r="R9" s="53" t="s">
        <v>149</v>
      </c>
      <c r="S9" s="75"/>
      <c r="T9" s="53" t="s">
        <v>150</v>
      </c>
      <c r="U9" s="75"/>
      <c r="V9" s="13"/>
    </row>
    <row r="10" spans="5:22" ht="11.25">
      <c r="E10" s="53" t="s">
        <v>182</v>
      </c>
      <c r="O10" s="283"/>
      <c r="T10" s="13"/>
      <c r="U10" s="13"/>
      <c r="V10" s="13"/>
    </row>
    <row r="11" spans="5:22" ht="11.25">
      <c r="E11" s="53" t="s">
        <v>181</v>
      </c>
      <c r="O11" s="283"/>
      <c r="R11" s="8" t="s">
        <v>261</v>
      </c>
      <c r="T11" s="13"/>
      <c r="U11" s="13"/>
      <c r="V11" s="13"/>
    </row>
    <row r="12" spans="5:22" ht="11.25">
      <c r="E12" s="53" t="s">
        <v>179</v>
      </c>
      <c r="Q12" s="13"/>
      <c r="R12" s="318">
        <f>C26+SUM(C37:C50)+SUM(C63:C68)+SUM(C79:C86)+SUM(C97:C114)</f>
        <v>49.636</v>
      </c>
      <c r="S12" s="13" t="s">
        <v>35</v>
      </c>
      <c r="U12" s="13"/>
      <c r="V12" s="13"/>
    </row>
    <row r="13" spans="5:22" ht="11.25">
      <c r="E13" s="53" t="s">
        <v>180</v>
      </c>
      <c r="Q13" s="13"/>
      <c r="R13" s="13"/>
      <c r="S13" s="13"/>
      <c r="U13" s="13"/>
      <c r="V13" s="13"/>
    </row>
    <row r="14" spans="5:22" ht="11.25">
      <c r="E14" s="53" t="s">
        <v>80</v>
      </c>
      <c r="F14" s="8"/>
      <c r="J14" s="8"/>
      <c r="Q14" s="13"/>
      <c r="R14" s="13" t="s">
        <v>262</v>
      </c>
      <c r="S14" s="13"/>
      <c r="U14" s="13"/>
      <c r="V14" s="13"/>
    </row>
    <row r="15" spans="5:22" ht="11.25">
      <c r="E15" s="13"/>
      <c r="F15" s="64"/>
      <c r="H15" s="64" t="s">
        <v>111</v>
      </c>
      <c r="I15" s="64"/>
      <c r="J15" s="13"/>
      <c r="Q15" s="13"/>
      <c r="R15" s="13">
        <f>SUM(B:B)</f>
        <v>110</v>
      </c>
      <c r="S15" s="13"/>
      <c r="U15" s="13"/>
      <c r="V15" s="13"/>
    </row>
    <row r="16" spans="5:22" ht="12" thickBot="1">
      <c r="E16" s="10"/>
      <c r="F16" s="279" t="s">
        <v>121</v>
      </c>
      <c r="G16" s="279"/>
      <c r="H16" s="279"/>
      <c r="I16" s="280" t="s">
        <v>122</v>
      </c>
      <c r="J16" s="167"/>
      <c r="Q16" s="13"/>
      <c r="R16" s="13"/>
      <c r="S16" s="13"/>
      <c r="U16" s="13"/>
      <c r="V16" s="13"/>
    </row>
    <row r="17" spans="5:22" ht="12" thickTop="1">
      <c r="E17" s="8"/>
      <c r="F17" s="98" t="s">
        <v>123</v>
      </c>
      <c r="H17" s="14" t="s">
        <v>123</v>
      </c>
      <c r="I17" s="167"/>
      <c r="J17" s="167"/>
      <c r="Q17" s="13"/>
      <c r="R17" s="13"/>
      <c r="S17" s="13"/>
      <c r="U17" s="13"/>
      <c r="V17" s="13"/>
    </row>
    <row r="18" spans="5:22" ht="11.25">
      <c r="E18" s="276"/>
      <c r="G18" s="98" t="s">
        <v>21</v>
      </c>
      <c r="I18" s="269"/>
      <c r="J18" s="167"/>
      <c r="Q18" s="13"/>
      <c r="R18" s="13"/>
      <c r="S18" s="13"/>
      <c r="U18" s="13"/>
      <c r="V18" s="13"/>
    </row>
    <row r="19" spans="5:22" ht="11.25">
      <c r="E19" s="276"/>
      <c r="F19" s="8"/>
      <c r="H19" s="13"/>
      <c r="I19" s="10"/>
      <c r="J19" s="13"/>
      <c r="Q19" s="13"/>
      <c r="R19" s="13"/>
      <c r="S19" s="13"/>
      <c r="U19" s="13"/>
      <c r="V19" s="13"/>
    </row>
    <row r="20" spans="2:22" ht="12" thickBot="1">
      <c r="B20" s="36"/>
      <c r="C20" s="495"/>
      <c r="E20" s="53"/>
      <c r="Q20" s="13"/>
      <c r="R20" s="13"/>
      <c r="S20" s="13"/>
      <c r="U20" s="13"/>
      <c r="V20" s="13"/>
    </row>
    <row r="21" spans="2:55" ht="12" thickBot="1">
      <c r="B21" s="493"/>
      <c r="C21" s="496"/>
      <c r="D21" s="54"/>
      <c r="E21" s="121" t="s">
        <v>152</v>
      </c>
      <c r="F21" s="94"/>
      <c r="G21" s="99"/>
      <c r="H21" s="99"/>
      <c r="I21" s="99"/>
      <c r="J21" s="101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22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22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122"/>
    </row>
    <row r="22" spans="2:55" ht="11.25">
      <c r="B22" s="446" t="s">
        <v>244</v>
      </c>
      <c r="C22" s="497" t="s">
        <v>56</v>
      </c>
      <c r="D22" s="54"/>
      <c r="E22" s="76" t="s">
        <v>124</v>
      </c>
      <c r="F22" s="56" t="s">
        <v>124</v>
      </c>
      <c r="G22" s="6" t="s">
        <v>58</v>
      </c>
      <c r="H22" s="6"/>
      <c r="I22" s="6"/>
      <c r="J22" s="6"/>
      <c r="K22" s="6"/>
      <c r="L22" s="3"/>
      <c r="M22" s="38" t="s">
        <v>34</v>
      </c>
      <c r="N22" s="70"/>
      <c r="O22" s="26" t="s">
        <v>61</v>
      </c>
      <c r="P22" s="50"/>
      <c r="Q22" s="5" t="s">
        <v>25</v>
      </c>
      <c r="R22" s="4"/>
      <c r="S22" s="4"/>
      <c r="T22" s="6" t="s">
        <v>125</v>
      </c>
      <c r="U22" s="7"/>
      <c r="V22" s="54"/>
      <c r="W22" s="93"/>
      <c r="X22" s="14" t="s">
        <v>17</v>
      </c>
      <c r="Y22" s="16"/>
      <c r="Z22" s="161" t="s">
        <v>126</v>
      </c>
      <c r="AA22" s="42" t="s">
        <v>126</v>
      </c>
      <c r="AB22" s="15" t="s">
        <v>126</v>
      </c>
      <c r="AC22" s="15" t="s">
        <v>126</v>
      </c>
      <c r="AD22" s="40" t="s">
        <v>126</v>
      </c>
      <c r="AE22" s="42" t="s">
        <v>127</v>
      </c>
      <c r="AF22" s="42" t="s">
        <v>127</v>
      </c>
      <c r="AG22" s="42" t="s">
        <v>127</v>
      </c>
      <c r="AH22" s="42" t="s">
        <v>127</v>
      </c>
      <c r="AI22" s="17" t="s">
        <v>127</v>
      </c>
      <c r="AJ22" s="41" t="s">
        <v>127</v>
      </c>
      <c r="AK22" s="161" t="s">
        <v>128</v>
      </c>
      <c r="AL22" s="40" t="s">
        <v>129</v>
      </c>
      <c r="AM22" s="161" t="s">
        <v>8</v>
      </c>
      <c r="AN22" s="10"/>
      <c r="AO22" s="16"/>
      <c r="AP22" s="41" t="s">
        <v>50</v>
      </c>
      <c r="AQ22" s="40" t="s">
        <v>126</v>
      </c>
      <c r="AR22" s="42" t="s">
        <v>127</v>
      </c>
      <c r="AS22" s="42" t="s">
        <v>34</v>
      </c>
      <c r="AT22" s="17" t="s">
        <v>13</v>
      </c>
      <c r="AU22" s="40" t="s">
        <v>34</v>
      </c>
      <c r="AV22" s="10"/>
      <c r="AW22" s="13"/>
      <c r="AX22" s="17" t="s">
        <v>29</v>
      </c>
      <c r="AY22" s="42" t="s">
        <v>13</v>
      </c>
      <c r="AZ22" s="17"/>
      <c r="BA22" s="54"/>
      <c r="BB22" s="58" t="s">
        <v>7</v>
      </c>
      <c r="BC22" s="44" t="s">
        <v>8</v>
      </c>
    </row>
    <row r="23" spans="2:55" ht="11.25">
      <c r="B23" s="93"/>
      <c r="C23" s="498"/>
      <c r="D23" s="54"/>
      <c r="E23" s="76"/>
      <c r="F23" s="44"/>
      <c r="G23" s="64"/>
      <c r="H23" s="64"/>
      <c r="I23" s="64"/>
      <c r="J23" s="64"/>
      <c r="K23" s="64"/>
      <c r="L23" s="69"/>
      <c r="M23" s="14" t="s">
        <v>1</v>
      </c>
      <c r="N23" s="71"/>
      <c r="O23" s="72" t="s">
        <v>62</v>
      </c>
      <c r="P23" s="72" t="s">
        <v>63</v>
      </c>
      <c r="Q23" s="12" t="s">
        <v>26</v>
      </c>
      <c r="R23" s="11"/>
      <c r="S23" s="11"/>
      <c r="T23" s="14" t="s">
        <v>130</v>
      </c>
      <c r="U23" s="16"/>
      <c r="V23" s="41" t="s">
        <v>51</v>
      </c>
      <c r="W23" s="40" t="s">
        <v>52</v>
      </c>
      <c r="X23" s="14" t="s">
        <v>18</v>
      </c>
      <c r="Y23" s="17" t="s">
        <v>30</v>
      </c>
      <c r="Z23" s="161" t="s">
        <v>131</v>
      </c>
      <c r="AA23" s="42" t="s">
        <v>132</v>
      </c>
      <c r="AB23" s="15" t="s">
        <v>72</v>
      </c>
      <c r="AC23" s="15" t="s">
        <v>61</v>
      </c>
      <c r="AD23" s="40" t="s">
        <v>62</v>
      </c>
      <c r="AE23" s="42" t="s">
        <v>133</v>
      </c>
      <c r="AF23" s="42" t="s">
        <v>132</v>
      </c>
      <c r="AG23" s="42" t="s">
        <v>72</v>
      </c>
      <c r="AH23" s="42" t="s">
        <v>61</v>
      </c>
      <c r="AI23" s="17" t="s">
        <v>87</v>
      </c>
      <c r="AJ23" s="41" t="s">
        <v>62</v>
      </c>
      <c r="AK23" s="161" t="s">
        <v>131</v>
      </c>
      <c r="AL23" s="40" t="s">
        <v>131</v>
      </c>
      <c r="AM23" s="161" t="s">
        <v>67</v>
      </c>
      <c r="AN23" s="42" t="s">
        <v>14</v>
      </c>
      <c r="AO23" s="17" t="s">
        <v>36</v>
      </c>
      <c r="AP23" s="44" t="s">
        <v>37</v>
      </c>
      <c r="AQ23" s="40" t="s">
        <v>85</v>
      </c>
      <c r="AR23" s="42" t="s">
        <v>85</v>
      </c>
      <c r="AS23" s="15" t="s">
        <v>33</v>
      </c>
      <c r="AT23" s="41" t="s">
        <v>14</v>
      </c>
      <c r="AU23" s="41" t="s">
        <v>51</v>
      </c>
      <c r="AV23" s="15" t="s">
        <v>9</v>
      </c>
      <c r="AW23" s="14" t="s">
        <v>10</v>
      </c>
      <c r="AX23" s="17" t="s">
        <v>46</v>
      </c>
      <c r="AY23" s="42" t="s">
        <v>41</v>
      </c>
      <c r="AZ23" s="17" t="s">
        <v>42</v>
      </c>
      <c r="BA23" s="57" t="s">
        <v>134</v>
      </c>
      <c r="BB23" s="58" t="s">
        <v>39</v>
      </c>
      <c r="BC23" s="44" t="s">
        <v>39</v>
      </c>
    </row>
    <row r="24" spans="2:55" ht="11.25">
      <c r="B24" s="93"/>
      <c r="C24" s="498"/>
      <c r="D24" s="54"/>
      <c r="E24" s="76"/>
      <c r="F24" s="44"/>
      <c r="G24" s="73" t="s">
        <v>59</v>
      </c>
      <c r="H24" s="10" t="s">
        <v>56</v>
      </c>
      <c r="I24" s="15" t="s">
        <v>47</v>
      </c>
      <c r="J24" s="15" t="s">
        <v>0</v>
      </c>
      <c r="K24" s="15" t="s">
        <v>2</v>
      </c>
      <c r="L24" s="15" t="s">
        <v>3</v>
      </c>
      <c r="M24" s="14" t="s">
        <v>19</v>
      </c>
      <c r="N24" s="15" t="s">
        <v>4</v>
      </c>
      <c r="O24" s="15" t="s">
        <v>19</v>
      </c>
      <c r="P24" s="15" t="s">
        <v>56</v>
      </c>
      <c r="Q24" s="12" t="s">
        <v>16</v>
      </c>
      <c r="R24" s="15" t="s">
        <v>21</v>
      </c>
      <c r="S24" s="15" t="s">
        <v>48</v>
      </c>
      <c r="T24" s="14" t="s">
        <v>49</v>
      </c>
      <c r="U24" s="17" t="s">
        <v>5</v>
      </c>
      <c r="V24" s="41" t="s">
        <v>53</v>
      </c>
      <c r="W24" s="40" t="s">
        <v>135</v>
      </c>
      <c r="X24" s="14" t="s">
        <v>32</v>
      </c>
      <c r="Y24" s="17" t="s">
        <v>31</v>
      </c>
      <c r="Z24" s="161"/>
      <c r="AA24" s="42" t="s">
        <v>71</v>
      </c>
      <c r="AB24" s="15"/>
      <c r="AC24" s="15" t="s">
        <v>7</v>
      </c>
      <c r="AD24" s="40"/>
      <c r="AE24" s="42"/>
      <c r="AF24" s="42" t="s">
        <v>71</v>
      </c>
      <c r="AG24" s="42"/>
      <c r="AH24" s="42"/>
      <c r="AI24" s="17" t="s">
        <v>86</v>
      </c>
      <c r="AJ24" s="41"/>
      <c r="AK24" s="161"/>
      <c r="AL24" s="40"/>
      <c r="AM24" s="161" t="s">
        <v>27</v>
      </c>
      <c r="AN24" s="42"/>
      <c r="AO24" s="17"/>
      <c r="AP24" s="41" t="s">
        <v>54</v>
      </c>
      <c r="AQ24" s="40"/>
      <c r="AR24" s="42"/>
      <c r="AS24" s="11"/>
      <c r="AT24" s="16"/>
      <c r="AU24" s="54"/>
      <c r="AV24" s="10"/>
      <c r="AW24" s="11"/>
      <c r="AX24" s="16"/>
      <c r="AY24" s="10"/>
      <c r="AZ24" s="16"/>
      <c r="BA24" s="93"/>
      <c r="BB24" s="93"/>
      <c r="BC24" s="93"/>
    </row>
    <row r="25" spans="2:55" ht="12" thickBot="1">
      <c r="B25" s="381"/>
      <c r="C25" s="499" t="s">
        <v>246</v>
      </c>
      <c r="D25" s="54"/>
      <c r="E25" s="77"/>
      <c r="F25" s="62"/>
      <c r="G25" s="18" t="s">
        <v>60</v>
      </c>
      <c r="H25" s="18" t="s">
        <v>11</v>
      </c>
      <c r="I25" s="1" t="s">
        <v>43</v>
      </c>
      <c r="J25" s="1" t="s">
        <v>40</v>
      </c>
      <c r="K25" s="1" t="s">
        <v>40</v>
      </c>
      <c r="L25" s="1" t="s">
        <v>44</v>
      </c>
      <c r="M25" s="20" t="s">
        <v>40</v>
      </c>
      <c r="N25" s="1" t="s">
        <v>44</v>
      </c>
      <c r="O25" s="1" t="s">
        <v>40</v>
      </c>
      <c r="P25" s="1" t="s">
        <v>57</v>
      </c>
      <c r="Q25" s="19" t="s">
        <v>40</v>
      </c>
      <c r="R25" s="1" t="s">
        <v>12</v>
      </c>
      <c r="S25" s="1" t="s">
        <v>40</v>
      </c>
      <c r="T25" s="20" t="s">
        <v>35</v>
      </c>
      <c r="U25" s="21" t="s">
        <v>40</v>
      </c>
      <c r="V25" s="46" t="s">
        <v>45</v>
      </c>
      <c r="W25" s="284" t="s">
        <v>35</v>
      </c>
      <c r="X25" s="20" t="s">
        <v>24</v>
      </c>
      <c r="Y25" s="21" t="s">
        <v>22</v>
      </c>
      <c r="Z25" s="285" t="s">
        <v>31</v>
      </c>
      <c r="AA25" s="2" t="s">
        <v>31</v>
      </c>
      <c r="AB25" s="1" t="s">
        <v>31</v>
      </c>
      <c r="AC25" s="1" t="s">
        <v>31</v>
      </c>
      <c r="AD25" s="284" t="s">
        <v>31</v>
      </c>
      <c r="AE25" s="2" t="s">
        <v>11</v>
      </c>
      <c r="AF25" s="2" t="s">
        <v>11</v>
      </c>
      <c r="AG25" s="2" t="s">
        <v>11</v>
      </c>
      <c r="AH25" s="2" t="s">
        <v>11</v>
      </c>
      <c r="AI25" s="21" t="s">
        <v>11</v>
      </c>
      <c r="AJ25" s="46" t="s">
        <v>11</v>
      </c>
      <c r="AK25" s="285" t="s">
        <v>31</v>
      </c>
      <c r="AL25" s="284" t="s">
        <v>31</v>
      </c>
      <c r="AM25" s="286"/>
      <c r="AN25" s="2" t="s">
        <v>45</v>
      </c>
      <c r="AO25" s="21" t="s">
        <v>35</v>
      </c>
      <c r="AP25" s="49" t="s">
        <v>23</v>
      </c>
      <c r="AQ25" s="284" t="s">
        <v>31</v>
      </c>
      <c r="AR25" s="2" t="s">
        <v>11</v>
      </c>
      <c r="AS25" s="47" t="s">
        <v>38</v>
      </c>
      <c r="AT25" s="46" t="s">
        <v>45</v>
      </c>
      <c r="AU25" s="46" t="s">
        <v>45</v>
      </c>
      <c r="AV25" s="1" t="s">
        <v>40</v>
      </c>
      <c r="AW25" s="1" t="s">
        <v>40</v>
      </c>
      <c r="AX25" s="49" t="s">
        <v>38</v>
      </c>
      <c r="AY25" s="2" t="s">
        <v>40</v>
      </c>
      <c r="AZ25" s="21" t="s">
        <v>40</v>
      </c>
      <c r="BA25" s="49" t="s">
        <v>40</v>
      </c>
      <c r="BB25" s="61" t="s">
        <v>23</v>
      </c>
      <c r="BC25" s="62" t="s">
        <v>23</v>
      </c>
    </row>
    <row r="26" spans="2:55" ht="12" thickBot="1">
      <c r="B26" s="381">
        <v>2</v>
      </c>
      <c r="C26" s="511">
        <f>B26*R26*$H26/1000</f>
        <v>4.4</v>
      </c>
      <c r="D26" s="54"/>
      <c r="E26" s="322" t="s">
        <v>136</v>
      </c>
      <c r="F26" s="466" t="s">
        <v>137</v>
      </c>
      <c r="G26" s="467" t="s">
        <v>139</v>
      </c>
      <c r="H26" s="324">
        <v>55</v>
      </c>
      <c r="I26" s="325">
        <v>16.2</v>
      </c>
      <c r="J26" s="325">
        <v>20.8</v>
      </c>
      <c r="K26" s="326">
        <v>0.375</v>
      </c>
      <c r="L26" s="327">
        <v>50</v>
      </c>
      <c r="M26" s="99">
        <v>1.5</v>
      </c>
      <c r="N26" s="327">
        <v>4</v>
      </c>
      <c r="O26" s="325">
        <v>4</v>
      </c>
      <c r="P26" s="327">
        <v>115</v>
      </c>
      <c r="Q26" s="328">
        <v>46.5</v>
      </c>
      <c r="R26" s="325">
        <v>40</v>
      </c>
      <c r="S26" s="329">
        <f>MIN((R26/4)*12,Q26)</f>
        <v>46.5</v>
      </c>
      <c r="T26" s="330">
        <f>0.85*N26*(O26-M26)*S26</f>
        <v>395.25</v>
      </c>
      <c r="U26" s="331">
        <f>O26-M26</f>
        <v>2.5</v>
      </c>
      <c r="V26" s="332">
        <v>702</v>
      </c>
      <c r="W26" s="333">
        <f>0.6*L26*J26*K26</f>
        <v>234</v>
      </c>
      <c r="X26" s="99">
        <v>17.2</v>
      </c>
      <c r="Y26" s="334">
        <f>(T26/X26)*2</f>
        <v>45.9593023255814</v>
      </c>
      <c r="Z26" s="335">
        <v>472.5</v>
      </c>
      <c r="AA26" s="328">
        <v>4050</v>
      </c>
      <c r="AB26" s="336">
        <v>216</v>
      </c>
      <c r="AC26" s="328">
        <v>3915</v>
      </c>
      <c r="AD26" s="337">
        <f>SUM(Z26:AC26)</f>
        <v>8653.5</v>
      </c>
      <c r="AE26" s="338">
        <f>H26</f>
        <v>55</v>
      </c>
      <c r="AF26" s="339">
        <v>217.5</v>
      </c>
      <c r="AG26" s="339">
        <v>11.6</v>
      </c>
      <c r="AH26" s="339">
        <v>210.3</v>
      </c>
      <c r="AI26" s="340">
        <v>520</v>
      </c>
      <c r="AJ26" s="337">
        <f>SUM(AF26:AI26)</f>
        <v>959.4</v>
      </c>
      <c r="AK26" s="342">
        <v>10800</v>
      </c>
      <c r="AL26" s="342">
        <v>580</v>
      </c>
      <c r="AM26" s="329">
        <f>IF(0.25+(15/($F$8*R26*(Q26/12))^0.5)&gt;0.5,IF(0.25+(15/($F$8*R26*(Q26/12))^0.5)&gt;1,1,0.25+(15/($F$8*R26*(Q26/12))^0.5)),0.5)</f>
        <v>1</v>
      </c>
      <c r="AN26" s="329">
        <f>(1.2*(((AJ26*R26*R26)/8000)+((AD26*R26)/4000)))+(1.6*(((AL26*R26*R26)/8000)+((AK26*R26)/4000)))</f>
        <v>692.498</v>
      </c>
      <c r="AO26" s="334">
        <f>(1.2*((AJ26*R26*0.0005)+(AD26/2000)))+(1.6*((AL26*R26*0.0005)+(AK26/2000)))</f>
        <v>55.417699999999996</v>
      </c>
      <c r="AP26" s="343" t="str">
        <f>IF(AND(V26&gt;AN26,W26&gt;AO26),"OK","NG")</f>
        <v>OK</v>
      </c>
      <c r="AQ26" s="344">
        <f>Z26+AB26+AC26</f>
        <v>4603.5</v>
      </c>
      <c r="AR26" s="345">
        <f>AE26+AG26+AH26</f>
        <v>276.9</v>
      </c>
      <c r="AS26" s="328">
        <v>1140</v>
      </c>
      <c r="AT26" s="346">
        <f>(AQ26*R26*R26)/8000</f>
        <v>920.7</v>
      </c>
      <c r="AU26" s="347"/>
      <c r="AV26" s="348">
        <v>2.505</v>
      </c>
      <c r="AW26" s="349">
        <f>O26-U26/2</f>
        <v>2.75</v>
      </c>
      <c r="AX26" s="350">
        <v>2035</v>
      </c>
      <c r="AY26" s="351">
        <f>(5*((AR26/12))*((R26*12)^4))/(384*29000000*AS26)+((AQ26*((R26*12)^3))/(48*29000000*AS26))</f>
        <v>0.8032638838475499</v>
      </c>
      <c r="AZ26" s="346">
        <f>(5*((AL26/12))*((R26*12)^4))/(384*29000000*AX26)+((AK26*((R26*12)^3))/(48*29000000*AX26))</f>
        <v>0.987735321528425</v>
      </c>
      <c r="BA26" s="352">
        <f>(R26/400)*12</f>
        <v>1.2000000000000002</v>
      </c>
      <c r="BB26" s="353" t="str">
        <f>IF(AY26&gt;BA26,"NG","OK")</f>
        <v>OK</v>
      </c>
      <c r="BC26" s="343" t="str">
        <f>IF(AZ26&gt;BA26,"NG","OK")</f>
        <v>OK</v>
      </c>
    </row>
    <row r="27" spans="2:59" ht="11.25">
      <c r="B27" s="166"/>
      <c r="C27" s="501"/>
      <c r="D27" s="13"/>
      <c r="E27" s="281"/>
      <c r="F27" s="281"/>
      <c r="G27" s="281"/>
      <c r="H27" s="281"/>
      <c r="I27" s="317"/>
      <c r="J27" s="317"/>
      <c r="K27" s="318"/>
      <c r="L27" s="13"/>
      <c r="M27" s="13"/>
      <c r="N27" s="13"/>
      <c r="O27" s="317"/>
      <c r="P27" s="13"/>
      <c r="Q27" s="319"/>
      <c r="R27" s="317"/>
      <c r="S27" s="168"/>
      <c r="T27" s="170"/>
      <c r="U27" s="169"/>
      <c r="V27" s="241"/>
      <c r="W27" s="320" t="s">
        <v>140</v>
      </c>
      <c r="X27" s="172"/>
      <c r="Y27" s="167"/>
      <c r="Z27" s="172"/>
      <c r="AA27" s="172"/>
      <c r="AB27" s="13"/>
      <c r="AC27" s="13"/>
      <c r="AD27" s="9"/>
      <c r="AE27" s="173"/>
      <c r="AF27" s="173"/>
      <c r="AG27" s="173"/>
      <c r="AH27" s="173"/>
      <c r="AI27" s="173"/>
      <c r="AJ27" s="173"/>
      <c r="AK27" s="173"/>
      <c r="AL27" s="173"/>
      <c r="AM27" s="173"/>
      <c r="AN27" s="317"/>
      <c r="AO27" s="168"/>
      <c r="AP27" s="172"/>
      <c r="AQ27" s="166"/>
      <c r="AS27" s="172"/>
      <c r="AT27" s="172"/>
      <c r="AU27" s="172"/>
      <c r="AV27" s="172"/>
      <c r="AW27" s="172"/>
      <c r="AX27" s="317"/>
      <c r="AY27" s="13"/>
      <c r="AZ27" s="321" t="s">
        <v>141</v>
      </c>
      <c r="BA27" s="169"/>
      <c r="BB27" s="167"/>
      <c r="BC27" s="168"/>
      <c r="BD27" s="168"/>
      <c r="BE27" s="168"/>
      <c r="BF27" s="166"/>
      <c r="BG27" s="166"/>
    </row>
    <row r="28" spans="5:59" ht="12" thickBot="1">
      <c r="E28" s="276"/>
      <c r="F28" s="277" t="s">
        <v>120</v>
      </c>
      <c r="G28" s="278"/>
      <c r="H28" s="278"/>
      <c r="I28" s="279" t="s">
        <v>121</v>
      </c>
      <c r="J28" s="279"/>
      <c r="K28" s="280" t="s">
        <v>122</v>
      </c>
      <c r="L28" s="167"/>
      <c r="R28" s="241"/>
      <c r="U28" s="9"/>
      <c r="V28" s="9"/>
      <c r="AQ28" s="13"/>
      <c r="BG28" s="13"/>
    </row>
    <row r="29" spans="5:21" ht="12" thickTop="1">
      <c r="E29" s="241"/>
      <c r="H29" s="8" t="s">
        <v>21</v>
      </c>
      <c r="J29" s="281"/>
      <c r="K29" s="167"/>
      <c r="L29" s="167"/>
      <c r="R29" s="241"/>
      <c r="U29" s="9"/>
    </row>
    <row r="30" spans="5:21" ht="11.25">
      <c r="E30" s="276"/>
      <c r="F30" s="8"/>
      <c r="J30" s="13"/>
      <c r="K30" s="10"/>
      <c r="L30" s="13"/>
      <c r="M30" s="13"/>
      <c r="N30" s="13"/>
      <c r="O30" s="13"/>
      <c r="P30" s="13"/>
      <c r="Q30" s="13"/>
      <c r="R30" s="13"/>
      <c r="S30" s="13"/>
      <c r="T30" s="13"/>
      <c r="U30" s="319"/>
    </row>
    <row r="31" spans="2:43" ht="12" thickBot="1">
      <c r="B31" s="36"/>
      <c r="E31" s="411"/>
      <c r="F31" s="411"/>
      <c r="G31" s="36"/>
      <c r="H31" s="36"/>
      <c r="I31" s="36"/>
      <c r="J31" s="408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58" ht="12" thickBot="1">
      <c r="A32" s="174"/>
      <c r="B32" s="138"/>
      <c r="C32" s="502"/>
      <c r="D32" s="54"/>
      <c r="E32" s="431" t="s">
        <v>192</v>
      </c>
      <c r="F32" s="417" t="s">
        <v>155</v>
      </c>
      <c r="G32" s="36"/>
      <c r="H32" s="36"/>
      <c r="I32" s="177"/>
      <c r="J32" s="36"/>
      <c r="K32" s="408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151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Q32" s="151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122"/>
    </row>
    <row r="33" spans="2:58" ht="11.25">
      <c r="B33" s="446" t="s">
        <v>244</v>
      </c>
      <c r="C33" s="497" t="s">
        <v>56</v>
      </c>
      <c r="D33" s="54"/>
      <c r="E33" s="76" t="s">
        <v>124</v>
      </c>
      <c r="F33" s="56" t="s">
        <v>124</v>
      </c>
      <c r="G33" s="6" t="s">
        <v>58</v>
      </c>
      <c r="H33" s="6"/>
      <c r="I33" s="188"/>
      <c r="J33" s="6"/>
      <c r="K33" s="6"/>
      <c r="L33" s="6"/>
      <c r="M33" s="6"/>
      <c r="N33" s="6"/>
      <c r="O33" s="6"/>
      <c r="P33" s="3"/>
      <c r="Q33" s="38" t="s">
        <v>34</v>
      </c>
      <c r="R33" s="70"/>
      <c r="S33" s="26" t="s">
        <v>61</v>
      </c>
      <c r="T33" s="50"/>
      <c r="U33" s="5" t="s">
        <v>25</v>
      </c>
      <c r="V33" s="4"/>
      <c r="W33" s="4"/>
      <c r="X33" s="14" t="s">
        <v>49</v>
      </c>
      <c r="Y33" s="7"/>
      <c r="Z33" s="37"/>
      <c r="AA33" s="163" t="s">
        <v>96</v>
      </c>
      <c r="AB33" s="159"/>
      <c r="AC33" s="38" t="s">
        <v>17</v>
      </c>
      <c r="AD33" s="4"/>
      <c r="AE33" s="15" t="s">
        <v>7</v>
      </c>
      <c r="AF33" s="15" t="s">
        <v>7</v>
      </c>
      <c r="AG33" s="259" t="s">
        <v>7</v>
      </c>
      <c r="AH33" s="14" t="s">
        <v>7</v>
      </c>
      <c r="AI33" s="15" t="s">
        <v>7</v>
      </c>
      <c r="AJ33" s="45" t="s">
        <v>8</v>
      </c>
      <c r="AK33" s="98" t="s">
        <v>8</v>
      </c>
      <c r="AL33" s="43" t="s">
        <v>8</v>
      </c>
      <c r="AM33" s="43" t="s">
        <v>97</v>
      </c>
      <c r="AN33" s="12" t="s">
        <v>98</v>
      </c>
      <c r="AO33" s="3"/>
      <c r="AP33" s="7"/>
      <c r="AQ33" s="39" t="s">
        <v>50</v>
      </c>
      <c r="AR33" s="42" t="s">
        <v>7</v>
      </c>
      <c r="AS33" s="14" t="s">
        <v>7</v>
      </c>
      <c r="AT33" s="15" t="s">
        <v>8</v>
      </c>
      <c r="AU33" s="15" t="s">
        <v>8</v>
      </c>
      <c r="AV33" s="42" t="s">
        <v>34</v>
      </c>
      <c r="AW33" s="41" t="s">
        <v>14</v>
      </c>
      <c r="AX33" s="41" t="s">
        <v>51</v>
      </c>
      <c r="AY33" s="15" t="s">
        <v>9</v>
      </c>
      <c r="AZ33" s="15" t="s">
        <v>10</v>
      </c>
      <c r="BA33" s="17" t="s">
        <v>29</v>
      </c>
      <c r="BB33" s="42" t="s">
        <v>41</v>
      </c>
      <c r="BC33" s="41" t="s">
        <v>42</v>
      </c>
      <c r="BD33" s="57" t="s">
        <v>99</v>
      </c>
      <c r="BE33" s="55" t="s">
        <v>7</v>
      </c>
      <c r="BF33" s="56" t="s">
        <v>8</v>
      </c>
    </row>
    <row r="34" spans="2:58" ht="11.25">
      <c r="B34" s="93"/>
      <c r="C34" s="498"/>
      <c r="D34" s="54"/>
      <c r="E34" s="76"/>
      <c r="F34" s="44"/>
      <c r="G34" s="64"/>
      <c r="H34" s="64"/>
      <c r="I34" s="65"/>
      <c r="J34" s="64"/>
      <c r="K34" s="64"/>
      <c r="L34" s="64"/>
      <c r="M34" s="64"/>
      <c r="N34" s="64"/>
      <c r="O34" s="64"/>
      <c r="P34" s="69"/>
      <c r="Q34" s="14" t="s">
        <v>1</v>
      </c>
      <c r="R34" s="71"/>
      <c r="S34" s="72" t="s">
        <v>62</v>
      </c>
      <c r="T34" s="72" t="s">
        <v>63</v>
      </c>
      <c r="U34" s="12" t="s">
        <v>26</v>
      </c>
      <c r="V34" s="11"/>
      <c r="W34" s="11"/>
      <c r="Y34" s="16"/>
      <c r="Z34" s="41" t="s">
        <v>51</v>
      </c>
      <c r="AA34" s="160" t="s">
        <v>74</v>
      </c>
      <c r="AB34" s="41" t="s">
        <v>52</v>
      </c>
      <c r="AC34" s="14" t="s">
        <v>18</v>
      </c>
      <c r="AD34" s="15" t="s">
        <v>30</v>
      </c>
      <c r="AE34" s="15" t="s">
        <v>70</v>
      </c>
      <c r="AF34" s="15" t="s">
        <v>34</v>
      </c>
      <c r="AG34" s="15" t="s">
        <v>61</v>
      </c>
      <c r="AH34" s="98" t="s">
        <v>87</v>
      </c>
      <c r="AI34" s="15" t="s">
        <v>62</v>
      </c>
      <c r="AJ34" s="10"/>
      <c r="AK34" s="98" t="s">
        <v>67</v>
      </c>
      <c r="AL34" s="43" t="s">
        <v>81</v>
      </c>
      <c r="AM34" s="43" t="s">
        <v>15</v>
      </c>
      <c r="AN34" s="12"/>
      <c r="AO34" s="42" t="s">
        <v>14</v>
      </c>
      <c r="AP34" s="17" t="s">
        <v>36</v>
      </c>
      <c r="AQ34" s="44" t="s">
        <v>37</v>
      </c>
      <c r="AR34" s="42" t="s">
        <v>85</v>
      </c>
      <c r="AS34" s="13"/>
      <c r="AT34" s="11"/>
      <c r="AU34" s="11"/>
      <c r="AV34" s="42" t="s">
        <v>33</v>
      </c>
      <c r="AW34" s="17" t="s">
        <v>85</v>
      </c>
      <c r="AX34" s="40" t="s">
        <v>34</v>
      </c>
      <c r="AY34" s="10"/>
      <c r="AZ34" s="13"/>
      <c r="BA34" s="17" t="s">
        <v>46</v>
      </c>
      <c r="BB34" s="42" t="s">
        <v>13</v>
      </c>
      <c r="BC34" s="41"/>
      <c r="BD34" s="54"/>
      <c r="BE34" s="58" t="s">
        <v>39</v>
      </c>
      <c r="BF34" s="44" t="s">
        <v>39</v>
      </c>
    </row>
    <row r="35" spans="2:58" ht="11.25">
      <c r="B35" s="93"/>
      <c r="C35" s="498"/>
      <c r="D35" s="54"/>
      <c r="E35" s="76"/>
      <c r="F35" s="44"/>
      <c r="G35" s="73" t="s">
        <v>59</v>
      </c>
      <c r="H35" s="10" t="s">
        <v>56</v>
      </c>
      <c r="I35" s="269" t="s">
        <v>88</v>
      </c>
      <c r="J35" s="15" t="s">
        <v>47</v>
      </c>
      <c r="K35" s="15" t="s">
        <v>0</v>
      </c>
      <c r="L35" s="15" t="s">
        <v>2</v>
      </c>
      <c r="M35" s="15" t="s">
        <v>90</v>
      </c>
      <c r="N35" s="15" t="s">
        <v>91</v>
      </c>
      <c r="O35" s="15" t="s">
        <v>95</v>
      </c>
      <c r="P35" s="15" t="s">
        <v>3</v>
      </c>
      <c r="Q35" s="14" t="s">
        <v>19</v>
      </c>
      <c r="R35" s="15" t="s">
        <v>4</v>
      </c>
      <c r="S35" s="15" t="s">
        <v>19</v>
      </c>
      <c r="T35" s="15" t="s">
        <v>56</v>
      </c>
      <c r="U35" s="12" t="s">
        <v>16</v>
      </c>
      <c r="V35" s="15" t="s">
        <v>21</v>
      </c>
      <c r="W35" s="15" t="s">
        <v>48</v>
      </c>
      <c r="X35" s="14" t="s">
        <v>6</v>
      </c>
      <c r="Y35" s="17" t="s">
        <v>5</v>
      </c>
      <c r="Z35" s="41" t="s">
        <v>53</v>
      </c>
      <c r="AA35" s="161"/>
      <c r="AB35" s="41"/>
      <c r="AC35" s="14" t="s">
        <v>32</v>
      </c>
      <c r="AD35" s="15" t="s">
        <v>31</v>
      </c>
      <c r="AE35" s="15" t="s">
        <v>71</v>
      </c>
      <c r="AF35" s="15" t="s">
        <v>72</v>
      </c>
      <c r="AG35" s="15"/>
      <c r="AH35" s="98" t="s">
        <v>86</v>
      </c>
      <c r="AI35" s="15"/>
      <c r="AJ35" s="11"/>
      <c r="AK35" s="98" t="s">
        <v>27</v>
      </c>
      <c r="AL35" s="43" t="s">
        <v>82</v>
      </c>
      <c r="AM35" s="15" t="s">
        <v>83</v>
      </c>
      <c r="AN35" s="42" t="s">
        <v>83</v>
      </c>
      <c r="AO35" s="42"/>
      <c r="AP35" s="17"/>
      <c r="AQ35" s="41" t="s">
        <v>54</v>
      </c>
      <c r="AR35" s="134"/>
      <c r="AS35" s="11"/>
      <c r="AT35" s="11"/>
      <c r="AU35" s="11"/>
      <c r="AV35" s="11"/>
      <c r="AW35" s="16"/>
      <c r="AX35" s="40" t="s">
        <v>84</v>
      </c>
      <c r="AY35" s="10"/>
      <c r="AZ35" s="11"/>
      <c r="BA35" s="54"/>
      <c r="BB35" s="10"/>
      <c r="BC35" s="16"/>
      <c r="BD35" s="93"/>
      <c r="BE35" s="93"/>
      <c r="BF35" s="93"/>
    </row>
    <row r="36" spans="2:58" ht="12" thickBot="1">
      <c r="B36" s="381"/>
      <c r="C36" s="499" t="s">
        <v>246</v>
      </c>
      <c r="D36" s="54"/>
      <c r="E36" s="77"/>
      <c r="F36" s="62"/>
      <c r="G36" s="18" t="s">
        <v>60</v>
      </c>
      <c r="H36" s="18" t="s">
        <v>11</v>
      </c>
      <c r="I36" s="270"/>
      <c r="J36" s="1" t="s">
        <v>43</v>
      </c>
      <c r="K36" s="1" t="s">
        <v>40</v>
      </c>
      <c r="L36" s="1" t="s">
        <v>40</v>
      </c>
      <c r="M36" s="1"/>
      <c r="N36" s="1"/>
      <c r="O36" s="1"/>
      <c r="P36" s="1" t="s">
        <v>44</v>
      </c>
      <c r="Q36" s="20" t="s">
        <v>40</v>
      </c>
      <c r="R36" s="1" t="s">
        <v>44</v>
      </c>
      <c r="S36" s="1" t="s">
        <v>40</v>
      </c>
      <c r="T36" s="1" t="s">
        <v>57</v>
      </c>
      <c r="U36" s="19" t="s">
        <v>40</v>
      </c>
      <c r="V36" s="1" t="s">
        <v>12</v>
      </c>
      <c r="W36" s="1" t="s">
        <v>40</v>
      </c>
      <c r="X36" s="20" t="s">
        <v>35</v>
      </c>
      <c r="Y36" s="21" t="s">
        <v>40</v>
      </c>
      <c r="Z36" s="46" t="s">
        <v>45</v>
      </c>
      <c r="AA36" s="285"/>
      <c r="AB36" s="46" t="s">
        <v>35</v>
      </c>
      <c r="AC36" s="20" t="s">
        <v>24</v>
      </c>
      <c r="AD36" s="1" t="s">
        <v>22</v>
      </c>
      <c r="AE36" s="1" t="s">
        <v>28</v>
      </c>
      <c r="AF36" s="1" t="s">
        <v>28</v>
      </c>
      <c r="AG36" s="2" t="s">
        <v>28</v>
      </c>
      <c r="AH36" s="2" t="s">
        <v>11</v>
      </c>
      <c r="AI36" s="1" t="s">
        <v>11</v>
      </c>
      <c r="AJ36" s="47" t="s">
        <v>28</v>
      </c>
      <c r="AK36" s="286"/>
      <c r="AL36" s="48" t="s">
        <v>11</v>
      </c>
      <c r="AM36" s="354" t="s">
        <v>11</v>
      </c>
      <c r="AN36" s="309" t="s">
        <v>11</v>
      </c>
      <c r="AO36" s="2" t="s">
        <v>45</v>
      </c>
      <c r="AP36" s="21" t="s">
        <v>35</v>
      </c>
      <c r="AQ36" s="49" t="s">
        <v>23</v>
      </c>
      <c r="AR36" s="135" t="s">
        <v>11</v>
      </c>
      <c r="AS36" s="59" t="s">
        <v>20</v>
      </c>
      <c r="AT36" s="60" t="s">
        <v>11</v>
      </c>
      <c r="AU36" s="60" t="s">
        <v>20</v>
      </c>
      <c r="AV36" s="47" t="s">
        <v>38</v>
      </c>
      <c r="AW36" s="46" t="s">
        <v>45</v>
      </c>
      <c r="AX36" s="46" t="s">
        <v>45</v>
      </c>
      <c r="AY36" s="1" t="s">
        <v>40</v>
      </c>
      <c r="AZ36" s="1" t="s">
        <v>40</v>
      </c>
      <c r="BA36" s="49" t="s">
        <v>38</v>
      </c>
      <c r="BB36" s="2" t="s">
        <v>40</v>
      </c>
      <c r="BC36" s="46" t="s">
        <v>40</v>
      </c>
      <c r="BD36" s="136" t="s">
        <v>40</v>
      </c>
      <c r="BE36" s="61" t="s">
        <v>23</v>
      </c>
      <c r="BF36" s="61" t="s">
        <v>23</v>
      </c>
    </row>
    <row r="37" spans="2:58" ht="11.25">
      <c r="B37" s="118">
        <v>1</v>
      </c>
      <c r="C37" s="503">
        <f aca="true" t="shared" si="0" ref="C37:C50">B37*V37*$H37/1000</f>
        <v>0.75</v>
      </c>
      <c r="D37" s="54"/>
      <c r="E37" s="250" t="s">
        <v>183</v>
      </c>
      <c r="F37" s="78" t="s">
        <v>184</v>
      </c>
      <c r="G37" s="179" t="s">
        <v>163</v>
      </c>
      <c r="H37" s="287">
        <v>30</v>
      </c>
      <c r="I37" s="271"/>
      <c r="J37" s="22">
        <v>8.85</v>
      </c>
      <c r="K37" s="22">
        <v>13.8</v>
      </c>
      <c r="L37" s="25">
        <v>0.27</v>
      </c>
      <c r="M37" s="25"/>
      <c r="N37" s="25"/>
      <c r="O37" s="208" t="str">
        <f aca="true" t="shared" si="1" ref="O37:O50">IF(M37&lt;1.1*((N37*29000)/P37)^0.5,1,"NO")</f>
        <v>NO</v>
      </c>
      <c r="P37" s="4">
        <v>50</v>
      </c>
      <c r="Q37" s="6">
        <v>1.5</v>
      </c>
      <c r="R37" s="4">
        <v>4</v>
      </c>
      <c r="S37" s="140">
        <v>4</v>
      </c>
      <c r="T37" s="4">
        <v>115</v>
      </c>
      <c r="U37" s="24">
        <v>270</v>
      </c>
      <c r="V37" s="22">
        <v>25</v>
      </c>
      <c r="W37" s="23">
        <f aca="true" t="shared" si="2" ref="W37:W50">MIN((V37/4)*12,U37)</f>
        <v>75</v>
      </c>
      <c r="X37" s="27">
        <f aca="true" t="shared" si="3" ref="X37:X50">J37*P37</f>
        <v>442.5</v>
      </c>
      <c r="Y37" s="28">
        <f aca="true" t="shared" si="4" ref="Y37:Y50">(J37*P37)/(0.85*R37*W37)</f>
        <v>1.7352941176470589</v>
      </c>
      <c r="Z37" s="102">
        <f aca="true" t="shared" si="5" ref="Z37:Z50">(0.9*((J37*P37*(K37/2))+(0.85*R37*Y37*W37*(S37-(Y37/2)))))/12</f>
        <v>332.9487132352941</v>
      </c>
      <c r="AA37" s="162">
        <f aca="true" t="shared" si="6" ref="AA37:AA50">IF(I37="v",0.9,1)</f>
        <v>1</v>
      </c>
      <c r="AB37" s="51">
        <f aca="true" t="shared" si="7" ref="AB37:AB50">IF(O37="NO",AA37*0.6*P37*K37*L37,AA37*0.6*P37*K37*L37*O37)</f>
        <v>111.78</v>
      </c>
      <c r="AC37" s="26">
        <v>17.2</v>
      </c>
      <c r="AD37" s="290">
        <f aca="true" t="shared" si="8" ref="AD37:AD50">(X37/AC37)*2</f>
        <v>51.45348837209303</v>
      </c>
      <c r="AE37" s="288">
        <v>30</v>
      </c>
      <c r="AF37" s="288">
        <v>1.6</v>
      </c>
      <c r="AG37" s="24">
        <v>29</v>
      </c>
      <c r="AH37" s="24">
        <v>0</v>
      </c>
      <c r="AI37" s="356">
        <f aca="true" t="shared" si="9" ref="AI37:AI50">((AE37+AG37+AF37)*(U37/12))+H37+AH37</f>
        <v>1393.5</v>
      </c>
      <c r="AJ37" s="24">
        <v>80</v>
      </c>
      <c r="AK37" s="23">
        <f aca="true" t="shared" si="10" ref="AK37:AK50">IF(0.25+(15/($F$8*V37*(U37/12))^0.5)&gt;0.5,IF(0.25+(15/($F$8*V37*(U37/12))^0.5)&gt;1,1,0.25+(15/($F$8*V37*(U37/12))^0.5)),0.5)</f>
        <v>0.697213595499958</v>
      </c>
      <c r="AL37" s="290">
        <f aca="true" t="shared" si="11" ref="AL37:AL50">(AJ37*AK37)*(U37/12)</f>
        <v>1254.9844718999243</v>
      </c>
      <c r="AM37" s="290">
        <f aca="true" t="shared" si="12" ref="AM37:AM50">(1.2*AI37)+(1.6*AL37)</f>
        <v>3680.175155039879</v>
      </c>
      <c r="AN37" s="290">
        <f aca="true" t="shared" si="13" ref="AN37:AN50">1.4*AI37</f>
        <v>1950.8999999999999</v>
      </c>
      <c r="AO37" s="23">
        <f aca="true" t="shared" si="14" ref="AO37:AO50">MAX((AN37*V37*V37)/8000,(AM37*V37*V37)/8000)</f>
        <v>287.51368398749054</v>
      </c>
      <c r="AP37" s="128">
        <f aca="true" t="shared" si="15" ref="AP37:AP50">MAX(AN37*V37/2000,AM37*V37/2000)</f>
        <v>46.00218943799849</v>
      </c>
      <c r="AQ37" s="90" t="str">
        <f aca="true" t="shared" si="16" ref="AQ37:AQ50">IF(AND(Z37&gt;AO37,AB37&gt;AP37),"OK","NG")</f>
        <v>OK</v>
      </c>
      <c r="AR37" s="103">
        <f aca="true" t="shared" si="17" ref="AR37:AR50">((AF37+AG37)*(U37/12))+H37</f>
        <v>718.5</v>
      </c>
      <c r="AS37" s="289">
        <f aca="true" t="shared" si="18" ref="AS37:AS50">AR37/12</f>
        <v>59.875</v>
      </c>
      <c r="AT37" s="290">
        <f aca="true" t="shared" si="19" ref="AT37:AT50">AJ37*(U37/12)</f>
        <v>1800</v>
      </c>
      <c r="AU37" s="290">
        <f aca="true" t="shared" si="20" ref="AU37:AU50">AT37/12</f>
        <v>150</v>
      </c>
      <c r="AV37" s="24">
        <v>291</v>
      </c>
      <c r="AW37" s="68">
        <f aca="true" t="shared" si="21" ref="AW37:AW50">(AR37*V37*V37)/8000</f>
        <v>56.1328125</v>
      </c>
      <c r="AX37" s="118"/>
      <c r="AY37" s="126">
        <v>0</v>
      </c>
      <c r="AZ37" s="291">
        <f aca="true" t="shared" si="22" ref="AZ37:AZ50">S37-Y37/2</f>
        <v>3.1323529411764706</v>
      </c>
      <c r="BA37" s="66">
        <v>738</v>
      </c>
      <c r="BB37" s="292">
        <f aca="true" t="shared" si="23" ref="BB37:BB50">(5*(AS37)*((V37*12)^4))/(384*29000000*AV37)</f>
        <v>0.748304468094561</v>
      </c>
      <c r="BC37" s="68">
        <f aca="true" t="shared" si="24" ref="BC37:BC50">(5*(AU37)*((V37*12)^4))/(384*29000000*BA37)</f>
        <v>0.7391978553406223</v>
      </c>
      <c r="BD37" s="102">
        <f aca="true" t="shared" si="25" ref="BD37:BD50">(V37/360)*12</f>
        <v>0.8333333333333334</v>
      </c>
      <c r="BE37" s="90" t="str">
        <f aca="true" t="shared" si="26" ref="BE37:BE50">IF(BB37&gt;BD37,"NG","OK")</f>
        <v>OK</v>
      </c>
      <c r="BF37" s="90" t="str">
        <f aca="true" t="shared" si="27" ref="BF37:BF50">IF(BC37&gt;BD37,"NG","OK")</f>
        <v>OK</v>
      </c>
    </row>
    <row r="38" spans="2:58" ht="11.25">
      <c r="B38" s="119">
        <v>1</v>
      </c>
      <c r="C38" s="512">
        <f t="shared" si="0"/>
        <v>0.9625</v>
      </c>
      <c r="D38" s="54"/>
      <c r="E38" s="355" t="s">
        <v>184</v>
      </c>
      <c r="F38" s="178" t="s">
        <v>185</v>
      </c>
      <c r="G38" s="179" t="s">
        <v>158</v>
      </c>
      <c r="H38" s="179">
        <v>35</v>
      </c>
      <c r="I38" s="272"/>
      <c r="J38" s="80">
        <v>10.3</v>
      </c>
      <c r="K38" s="80">
        <v>17.7</v>
      </c>
      <c r="L38" s="296">
        <v>0.3</v>
      </c>
      <c r="M38" s="32"/>
      <c r="N38" s="32"/>
      <c r="O38" s="358" t="str">
        <f t="shared" si="1"/>
        <v>NO</v>
      </c>
      <c r="P38" s="71">
        <v>50</v>
      </c>
      <c r="Q38" s="359">
        <v>1.5</v>
      </c>
      <c r="R38" s="71">
        <v>4</v>
      </c>
      <c r="S38" s="207">
        <v>4</v>
      </c>
      <c r="T38" s="71">
        <v>115</v>
      </c>
      <c r="U38" s="31">
        <v>282</v>
      </c>
      <c r="V38" s="29">
        <v>27.5</v>
      </c>
      <c r="W38" s="30">
        <f t="shared" si="2"/>
        <v>82.5</v>
      </c>
      <c r="X38" s="361">
        <f t="shared" si="3"/>
        <v>515</v>
      </c>
      <c r="Y38" s="147">
        <f t="shared" si="4"/>
        <v>1.8360071301247771</v>
      </c>
      <c r="Z38" s="211">
        <f t="shared" si="5"/>
        <v>460.87336229946527</v>
      </c>
      <c r="AA38" s="132">
        <f t="shared" si="6"/>
        <v>1</v>
      </c>
      <c r="AB38" s="86">
        <f t="shared" si="7"/>
        <v>159.29999999999998</v>
      </c>
      <c r="AC38" s="64">
        <v>17.2</v>
      </c>
      <c r="AD38" s="85">
        <f t="shared" si="8"/>
        <v>59.88372093023256</v>
      </c>
      <c r="AE38" s="297">
        <v>30</v>
      </c>
      <c r="AF38" s="297">
        <v>1.6</v>
      </c>
      <c r="AG38" s="81">
        <v>29</v>
      </c>
      <c r="AH38" s="182">
        <v>0</v>
      </c>
      <c r="AI38" s="253">
        <f t="shared" si="9"/>
        <v>1459.1000000000001</v>
      </c>
      <c r="AJ38" s="31">
        <v>80</v>
      </c>
      <c r="AK38" s="82">
        <f t="shared" si="10"/>
        <v>0.6672304374216065</v>
      </c>
      <c r="AL38" s="85">
        <f t="shared" si="11"/>
        <v>1254.3932223526201</v>
      </c>
      <c r="AM38" s="85">
        <f t="shared" si="12"/>
        <v>3757.9491557641923</v>
      </c>
      <c r="AN38" s="85">
        <f t="shared" si="13"/>
        <v>2042.74</v>
      </c>
      <c r="AO38" s="82">
        <f t="shared" si="14"/>
        <v>355.2436311308338</v>
      </c>
      <c r="AP38" s="128">
        <f t="shared" si="15"/>
        <v>51.67180089175764</v>
      </c>
      <c r="AQ38" s="91" t="str">
        <f t="shared" si="16"/>
        <v>OK</v>
      </c>
      <c r="AR38" s="120">
        <f t="shared" si="17"/>
        <v>754.1</v>
      </c>
      <c r="AS38" s="255">
        <f t="shared" si="18"/>
        <v>62.84166666666667</v>
      </c>
      <c r="AT38" s="52">
        <f t="shared" si="19"/>
        <v>1880</v>
      </c>
      <c r="AU38" s="52">
        <f t="shared" si="20"/>
        <v>156.66666666666666</v>
      </c>
      <c r="AV38" s="81">
        <v>510</v>
      </c>
      <c r="AW38" s="63">
        <f t="shared" si="21"/>
        <v>71.286015625</v>
      </c>
      <c r="AX38" s="119"/>
      <c r="AY38" s="125">
        <v>0</v>
      </c>
      <c r="AZ38" s="256">
        <f t="shared" si="22"/>
        <v>3.0819964349376114</v>
      </c>
      <c r="BA38" s="87">
        <v>1230</v>
      </c>
      <c r="BB38" s="257">
        <f t="shared" si="23"/>
        <v>0.6561060768730984</v>
      </c>
      <c r="BC38" s="63">
        <f t="shared" si="24"/>
        <v>0.6782160034693019</v>
      </c>
      <c r="BD38" s="130">
        <f t="shared" si="25"/>
        <v>0.9166666666666667</v>
      </c>
      <c r="BE38" s="91" t="str">
        <f t="shared" si="26"/>
        <v>OK</v>
      </c>
      <c r="BF38" s="91" t="str">
        <f t="shared" si="27"/>
        <v>OK</v>
      </c>
    </row>
    <row r="39" spans="1:58" ht="11.25">
      <c r="A39" s="54"/>
      <c r="B39" s="119">
        <v>1</v>
      </c>
      <c r="C39" s="512">
        <f t="shared" si="0"/>
        <v>0.9625</v>
      </c>
      <c r="D39" s="54"/>
      <c r="E39" s="357" t="s">
        <v>185</v>
      </c>
      <c r="F39" s="180" t="s">
        <v>161</v>
      </c>
      <c r="G39" s="179" t="s">
        <v>158</v>
      </c>
      <c r="H39" s="179">
        <v>35</v>
      </c>
      <c r="I39" s="272"/>
      <c r="J39" s="80">
        <v>10.3</v>
      </c>
      <c r="K39" s="80">
        <v>17.7</v>
      </c>
      <c r="L39" s="296">
        <v>0.3</v>
      </c>
      <c r="M39" s="32"/>
      <c r="N39" s="32"/>
      <c r="O39" s="157" t="str">
        <f t="shared" si="1"/>
        <v>NO</v>
      </c>
      <c r="P39" s="34">
        <v>50</v>
      </c>
      <c r="Q39" s="33">
        <v>1.5</v>
      </c>
      <c r="R39" s="34">
        <v>4</v>
      </c>
      <c r="S39" s="29">
        <v>4</v>
      </c>
      <c r="T39" s="34">
        <v>115</v>
      </c>
      <c r="U39" s="31">
        <v>282</v>
      </c>
      <c r="V39" s="29">
        <v>27.5</v>
      </c>
      <c r="W39" s="82">
        <f t="shared" si="2"/>
        <v>82.5</v>
      </c>
      <c r="X39" s="83">
        <f t="shared" si="3"/>
        <v>515</v>
      </c>
      <c r="Y39" s="84">
        <f t="shared" si="4"/>
        <v>1.8360071301247771</v>
      </c>
      <c r="Z39" s="294">
        <f t="shared" si="5"/>
        <v>460.87336229946527</v>
      </c>
      <c r="AA39" s="131">
        <f t="shared" si="6"/>
        <v>1</v>
      </c>
      <c r="AB39" s="128">
        <f t="shared" si="7"/>
        <v>159.29999999999998</v>
      </c>
      <c r="AC39" s="33">
        <v>17.2</v>
      </c>
      <c r="AD39" s="52">
        <f t="shared" si="8"/>
        <v>59.88372093023256</v>
      </c>
      <c r="AE39" s="34">
        <v>30</v>
      </c>
      <c r="AF39" s="34">
        <v>1.6</v>
      </c>
      <c r="AG39" s="31">
        <v>29</v>
      </c>
      <c r="AH39" s="31">
        <v>0</v>
      </c>
      <c r="AI39" s="112">
        <f t="shared" si="9"/>
        <v>1459.1000000000001</v>
      </c>
      <c r="AJ39" s="31">
        <v>80</v>
      </c>
      <c r="AK39" s="82">
        <f t="shared" si="10"/>
        <v>0.6672304374216065</v>
      </c>
      <c r="AL39" s="85">
        <f t="shared" si="11"/>
        <v>1254.3932223526201</v>
      </c>
      <c r="AM39" s="85">
        <f t="shared" si="12"/>
        <v>3757.9491557641923</v>
      </c>
      <c r="AN39" s="85">
        <f t="shared" si="13"/>
        <v>2042.74</v>
      </c>
      <c r="AO39" s="82">
        <f t="shared" si="14"/>
        <v>355.2436311308338</v>
      </c>
      <c r="AP39" s="86">
        <f t="shared" si="15"/>
        <v>51.67180089175764</v>
      </c>
      <c r="AQ39" s="91" t="str">
        <f t="shared" si="16"/>
        <v>OK</v>
      </c>
      <c r="AR39" s="120">
        <f t="shared" si="17"/>
        <v>754.1</v>
      </c>
      <c r="AS39" s="255">
        <f t="shared" si="18"/>
        <v>62.84166666666667</v>
      </c>
      <c r="AT39" s="52">
        <f t="shared" si="19"/>
        <v>1880</v>
      </c>
      <c r="AU39" s="52">
        <f t="shared" si="20"/>
        <v>156.66666666666666</v>
      </c>
      <c r="AV39" s="81">
        <v>510</v>
      </c>
      <c r="AW39" s="63">
        <f t="shared" si="21"/>
        <v>71.286015625</v>
      </c>
      <c r="AX39" s="119"/>
      <c r="AY39" s="125">
        <v>0</v>
      </c>
      <c r="AZ39" s="256">
        <f t="shared" si="22"/>
        <v>3.0819964349376114</v>
      </c>
      <c r="BA39" s="87">
        <v>1230</v>
      </c>
      <c r="BB39" s="257">
        <f t="shared" si="23"/>
        <v>0.6561060768730984</v>
      </c>
      <c r="BC39" s="63">
        <f t="shared" si="24"/>
        <v>0.6782160034693019</v>
      </c>
      <c r="BD39" s="130">
        <f t="shared" si="25"/>
        <v>0.9166666666666667</v>
      </c>
      <c r="BE39" s="91" t="str">
        <f t="shared" si="26"/>
        <v>OK</v>
      </c>
      <c r="BF39" s="91" t="str">
        <f t="shared" si="27"/>
        <v>OK</v>
      </c>
    </row>
    <row r="40" spans="1:58" ht="12" thickBot="1">
      <c r="A40" s="54"/>
      <c r="B40" s="165">
        <v>1</v>
      </c>
      <c r="C40" s="507">
        <f t="shared" si="0"/>
        <v>0.75</v>
      </c>
      <c r="D40" s="54"/>
      <c r="E40" s="409" t="s">
        <v>161</v>
      </c>
      <c r="F40" s="180" t="s">
        <v>162</v>
      </c>
      <c r="G40" s="115" t="s">
        <v>163</v>
      </c>
      <c r="H40" s="153">
        <v>30</v>
      </c>
      <c r="I40" s="273"/>
      <c r="J40" s="100">
        <v>8.85</v>
      </c>
      <c r="K40" s="100">
        <v>13.8</v>
      </c>
      <c r="L40" s="116">
        <v>0.27</v>
      </c>
      <c r="M40" s="116"/>
      <c r="N40" s="116"/>
      <c r="O40" s="158" t="str">
        <f t="shared" si="1"/>
        <v>NO</v>
      </c>
      <c r="P40" s="109">
        <v>50</v>
      </c>
      <c r="Q40" s="95">
        <v>1.5</v>
      </c>
      <c r="R40" s="109">
        <v>4</v>
      </c>
      <c r="S40" s="100">
        <v>4</v>
      </c>
      <c r="T40" s="109">
        <v>115</v>
      </c>
      <c r="U40" s="183">
        <v>270</v>
      </c>
      <c r="V40" s="100">
        <v>25</v>
      </c>
      <c r="W40" s="107">
        <f t="shared" si="2"/>
        <v>75</v>
      </c>
      <c r="X40" s="105">
        <f t="shared" si="3"/>
        <v>442.5</v>
      </c>
      <c r="Y40" s="117">
        <f t="shared" si="4"/>
        <v>1.7352941176470589</v>
      </c>
      <c r="Z40" s="113">
        <f t="shared" si="5"/>
        <v>332.9487132352941</v>
      </c>
      <c r="AA40" s="164">
        <f t="shared" si="6"/>
        <v>1</v>
      </c>
      <c r="AB40" s="129">
        <f t="shared" si="7"/>
        <v>111.78</v>
      </c>
      <c r="AC40" s="95">
        <v>17.2</v>
      </c>
      <c r="AD40" s="106">
        <f t="shared" si="8"/>
        <v>51.45348837209303</v>
      </c>
      <c r="AE40" s="286">
        <v>30</v>
      </c>
      <c r="AF40" s="286">
        <v>1.6</v>
      </c>
      <c r="AG40" s="35">
        <v>29</v>
      </c>
      <c r="AH40" s="183">
        <v>0</v>
      </c>
      <c r="AI40" s="133">
        <f t="shared" si="9"/>
        <v>1393.5</v>
      </c>
      <c r="AJ40" s="108">
        <v>80</v>
      </c>
      <c r="AK40" s="107">
        <f t="shared" si="10"/>
        <v>0.697213595499958</v>
      </c>
      <c r="AL40" s="106">
        <f t="shared" si="11"/>
        <v>1254.9844718999243</v>
      </c>
      <c r="AM40" s="106">
        <f t="shared" si="12"/>
        <v>3680.175155039879</v>
      </c>
      <c r="AN40" s="106">
        <f t="shared" si="13"/>
        <v>1950.8999999999999</v>
      </c>
      <c r="AO40" s="107">
        <f t="shared" si="14"/>
        <v>287.51368398749054</v>
      </c>
      <c r="AP40" s="129">
        <f t="shared" si="15"/>
        <v>46.00218943799849</v>
      </c>
      <c r="AQ40" s="92" t="str">
        <f t="shared" si="16"/>
        <v>OK</v>
      </c>
      <c r="AR40" s="104">
        <f t="shared" si="17"/>
        <v>718.5</v>
      </c>
      <c r="AS40" s="312">
        <f t="shared" si="18"/>
        <v>59.875</v>
      </c>
      <c r="AT40" s="106">
        <f t="shared" si="19"/>
        <v>1800</v>
      </c>
      <c r="AU40" s="106">
        <f t="shared" si="20"/>
        <v>150</v>
      </c>
      <c r="AV40" s="366">
        <v>291</v>
      </c>
      <c r="AW40" s="111">
        <f t="shared" si="21"/>
        <v>56.1328125</v>
      </c>
      <c r="AX40" s="165"/>
      <c r="AY40" s="127">
        <v>0</v>
      </c>
      <c r="AZ40" s="469">
        <f t="shared" si="22"/>
        <v>3.1323529411764706</v>
      </c>
      <c r="BA40" s="110">
        <v>738</v>
      </c>
      <c r="BB40" s="314">
        <f t="shared" si="23"/>
        <v>0.748304468094561</v>
      </c>
      <c r="BC40" s="111">
        <f t="shared" si="24"/>
        <v>0.7391978553406223</v>
      </c>
      <c r="BD40" s="113">
        <f t="shared" si="25"/>
        <v>0.8333333333333334</v>
      </c>
      <c r="BE40" s="92" t="str">
        <f t="shared" si="26"/>
        <v>OK</v>
      </c>
      <c r="BF40" s="92" t="str">
        <f t="shared" si="27"/>
        <v>OK</v>
      </c>
    </row>
    <row r="41" spans="2:58" ht="11.25">
      <c r="B41" s="118">
        <v>1</v>
      </c>
      <c r="C41" s="503">
        <f t="shared" si="0"/>
        <v>0.9625</v>
      </c>
      <c r="D41" s="54"/>
      <c r="E41" s="250" t="s">
        <v>136</v>
      </c>
      <c r="F41" s="421" t="s">
        <v>226</v>
      </c>
      <c r="G41" s="152" t="s">
        <v>158</v>
      </c>
      <c r="H41" s="76">
        <v>35</v>
      </c>
      <c r="I41" s="428"/>
      <c r="J41" s="74">
        <v>10.3</v>
      </c>
      <c r="K41" s="74">
        <v>17.7</v>
      </c>
      <c r="L41" s="452">
        <v>0.3</v>
      </c>
      <c r="M41" s="207"/>
      <c r="N41" s="471"/>
      <c r="O41" s="216" t="str">
        <f t="shared" si="1"/>
        <v>NO</v>
      </c>
      <c r="P41" s="11">
        <v>50</v>
      </c>
      <c r="Q41" s="13">
        <v>1.5</v>
      </c>
      <c r="R41" s="11">
        <v>4</v>
      </c>
      <c r="S41" s="74">
        <v>4</v>
      </c>
      <c r="T41" s="11">
        <v>115</v>
      </c>
      <c r="U41" s="182">
        <v>282</v>
      </c>
      <c r="V41" s="74">
        <v>27.5</v>
      </c>
      <c r="W41" s="124">
        <f t="shared" si="2"/>
        <v>82.5</v>
      </c>
      <c r="X41" s="396">
        <f t="shared" si="3"/>
        <v>515</v>
      </c>
      <c r="Y41" s="397">
        <f t="shared" si="4"/>
        <v>1.8360071301247771</v>
      </c>
      <c r="Z41" s="363">
        <f t="shared" si="5"/>
        <v>460.87336229946527</v>
      </c>
      <c r="AA41" s="476">
        <f t="shared" si="6"/>
        <v>1</v>
      </c>
      <c r="AB41" s="251">
        <f t="shared" si="7"/>
        <v>159.29999999999998</v>
      </c>
      <c r="AC41" s="13">
        <v>17.2</v>
      </c>
      <c r="AD41" s="252">
        <f t="shared" si="8"/>
        <v>59.88372093023256</v>
      </c>
      <c r="AE41" s="11">
        <v>30</v>
      </c>
      <c r="AF41" s="11">
        <v>1.6</v>
      </c>
      <c r="AG41" s="182">
        <v>29</v>
      </c>
      <c r="AH41" s="182">
        <v>0</v>
      </c>
      <c r="AI41" s="144">
        <f t="shared" si="9"/>
        <v>1459.1000000000001</v>
      </c>
      <c r="AJ41" s="141">
        <v>80</v>
      </c>
      <c r="AK41" s="142">
        <f t="shared" si="10"/>
        <v>0.6672304374216065</v>
      </c>
      <c r="AL41" s="252">
        <f t="shared" si="11"/>
        <v>1254.3932223526201</v>
      </c>
      <c r="AM41" s="252">
        <f t="shared" si="12"/>
        <v>3757.9491557641923</v>
      </c>
      <c r="AN41" s="252">
        <f t="shared" si="13"/>
        <v>2042.74</v>
      </c>
      <c r="AO41" s="124">
        <f t="shared" si="14"/>
        <v>355.2436311308338</v>
      </c>
      <c r="AP41" s="251">
        <f t="shared" si="15"/>
        <v>51.67180089175764</v>
      </c>
      <c r="AQ41" s="90" t="str">
        <f t="shared" si="16"/>
        <v>OK</v>
      </c>
      <c r="AR41" s="103">
        <f t="shared" si="17"/>
        <v>754.1</v>
      </c>
      <c r="AS41" s="289">
        <f t="shared" si="18"/>
        <v>62.84166666666667</v>
      </c>
      <c r="AT41" s="290">
        <f t="shared" si="19"/>
        <v>1880</v>
      </c>
      <c r="AU41" s="290">
        <f t="shared" si="20"/>
        <v>156.66666666666666</v>
      </c>
      <c r="AV41" s="24">
        <v>510</v>
      </c>
      <c r="AW41" s="68">
        <f t="shared" si="21"/>
        <v>71.286015625</v>
      </c>
      <c r="AX41" s="118"/>
      <c r="AY41" s="126">
        <v>0</v>
      </c>
      <c r="AZ41" s="291">
        <f t="shared" si="22"/>
        <v>3.0819964349376114</v>
      </c>
      <c r="BA41" s="66">
        <v>1230</v>
      </c>
      <c r="BB41" s="292">
        <f t="shared" si="23"/>
        <v>0.6561060768730984</v>
      </c>
      <c r="BC41" s="68">
        <f t="shared" si="24"/>
        <v>0.6782160034693019</v>
      </c>
      <c r="BD41" s="102">
        <f t="shared" si="25"/>
        <v>0.9166666666666667</v>
      </c>
      <c r="BE41" s="90" t="str">
        <f t="shared" si="26"/>
        <v>OK</v>
      </c>
      <c r="BF41" s="90" t="str">
        <f t="shared" si="27"/>
        <v>OK</v>
      </c>
    </row>
    <row r="42" spans="2:58" ht="11.25">
      <c r="B42" s="119">
        <v>1</v>
      </c>
      <c r="C42" s="512">
        <f t="shared" si="0"/>
        <v>0.9625</v>
      </c>
      <c r="D42" s="54"/>
      <c r="E42" s="355" t="s">
        <v>137</v>
      </c>
      <c r="F42" s="79" t="s">
        <v>171</v>
      </c>
      <c r="G42" s="249" t="s">
        <v>158</v>
      </c>
      <c r="H42" s="222">
        <v>35</v>
      </c>
      <c r="I42" s="272"/>
      <c r="J42" s="29">
        <v>10.3</v>
      </c>
      <c r="K42" s="29">
        <v>17.7</v>
      </c>
      <c r="L42" s="32">
        <v>0.3</v>
      </c>
      <c r="M42" s="29"/>
      <c r="N42" s="155"/>
      <c r="O42" s="157" t="str">
        <f>IF(M42&lt;1.1*((N42*29000)/P42)^0.5,1,"NO")</f>
        <v>NO</v>
      </c>
      <c r="P42" s="34">
        <v>50</v>
      </c>
      <c r="Q42" s="33">
        <v>1.5</v>
      </c>
      <c r="R42" s="34">
        <v>4</v>
      </c>
      <c r="S42" s="29">
        <v>4</v>
      </c>
      <c r="T42" s="34">
        <v>115</v>
      </c>
      <c r="U42" s="31">
        <v>282</v>
      </c>
      <c r="V42" s="29">
        <v>27.5</v>
      </c>
      <c r="W42" s="30">
        <f>MIN((V42/4)*12,U42)</f>
        <v>82.5</v>
      </c>
      <c r="X42" s="146">
        <f>J42*P42</f>
        <v>515</v>
      </c>
      <c r="Y42" s="147">
        <f>(J42*P42)/(0.85*R42*W42)</f>
        <v>1.8360071301247771</v>
      </c>
      <c r="Z42" s="294">
        <f>(0.9*((J42*P42*(K42/2))+(0.85*R42*Y42*W42*(S42-(Y42/2)))))/12</f>
        <v>460.87336229946527</v>
      </c>
      <c r="AA42" s="131">
        <f>IF(I42="v",0.9,1)</f>
        <v>1</v>
      </c>
      <c r="AB42" s="128">
        <f>IF(O42="NO",AA42*0.6*P42*K42*L42,AA42*0.6*P42*K42*L42*O42)</f>
        <v>159.29999999999998</v>
      </c>
      <c r="AC42" s="33">
        <v>17.2</v>
      </c>
      <c r="AD42" s="52">
        <f>(X42/AC42)*2</f>
        <v>59.88372093023256</v>
      </c>
      <c r="AE42" s="34">
        <v>30</v>
      </c>
      <c r="AF42" s="34">
        <v>1.6</v>
      </c>
      <c r="AG42" s="31">
        <v>29</v>
      </c>
      <c r="AH42" s="31">
        <v>0</v>
      </c>
      <c r="AI42" s="112">
        <f>((AE42+AG42+AF42)*(U42/12))+H42+AH42</f>
        <v>1459.1000000000001</v>
      </c>
      <c r="AJ42" s="31">
        <v>80</v>
      </c>
      <c r="AK42" s="30">
        <f>IF(0.25+(15/($F$8*V42*(U42/12))^0.5)&gt;0.5,IF(0.25+(15/($F$8*V42*(U42/12))^0.5)&gt;1,1,0.25+(15/($F$8*V42*(U42/12))^0.5)),0.5)</f>
        <v>0.6672304374216065</v>
      </c>
      <c r="AL42" s="52">
        <f>(AJ42*AK42)*(U42/12)</f>
        <v>1254.3932223526201</v>
      </c>
      <c r="AM42" s="52">
        <f>(1.2*AI42)+(1.6*AL42)</f>
        <v>3757.9491557641923</v>
      </c>
      <c r="AN42" s="52">
        <f>1.4*AI42</f>
        <v>2042.74</v>
      </c>
      <c r="AO42" s="30">
        <f>MAX((AN42*V42*V42)/8000,(AM42*V42*V42)/8000)</f>
        <v>355.2436311308338</v>
      </c>
      <c r="AP42" s="128">
        <f>MAX(AN42*V42/2000,AM42*V42/2000)</f>
        <v>51.67180089175764</v>
      </c>
      <c r="AQ42" s="293" t="str">
        <f>IF(AND(Z42&gt;AO42,AB42&gt;AP42),"OK","NG")</f>
        <v>OK</v>
      </c>
      <c r="AR42" s="120">
        <f>((AF42+AG42)*(U42/12))+H42</f>
        <v>754.1</v>
      </c>
      <c r="AS42" s="255">
        <f t="shared" si="18"/>
        <v>62.84166666666667</v>
      </c>
      <c r="AT42" s="52">
        <f>AJ42*(U42/12)</f>
        <v>1880</v>
      </c>
      <c r="AU42" s="52">
        <f t="shared" si="20"/>
        <v>156.66666666666666</v>
      </c>
      <c r="AV42" s="31">
        <v>510</v>
      </c>
      <c r="AW42" s="63">
        <f>(AR42*V42*V42)/8000</f>
        <v>71.286015625</v>
      </c>
      <c r="AX42" s="119"/>
      <c r="AY42" s="125">
        <v>0</v>
      </c>
      <c r="AZ42" s="256">
        <f>S42-Y42/2</f>
        <v>3.0819964349376114</v>
      </c>
      <c r="BA42" s="67">
        <v>1230</v>
      </c>
      <c r="BB42" s="257">
        <f>(5*(AS42)*((V42*12)^4))/(384*29000000*AV42)</f>
        <v>0.6561060768730984</v>
      </c>
      <c r="BC42" s="63">
        <f>(5*(AU42)*((V42*12)^4))/(384*29000000*BA42)</f>
        <v>0.6782160034693019</v>
      </c>
      <c r="BD42" s="130">
        <f>(V42/360)*12</f>
        <v>0.9166666666666667</v>
      </c>
      <c r="BE42" s="91" t="str">
        <f>IF(BB42&gt;BD42,"NG","OK")</f>
        <v>OK</v>
      </c>
      <c r="BF42" s="91" t="str">
        <f>IF(BC42&gt;BD42,"NG","OK")</f>
        <v>OK</v>
      </c>
    </row>
    <row r="43" spans="2:58" ht="11.25">
      <c r="B43" s="119">
        <v>1</v>
      </c>
      <c r="C43" s="512">
        <f t="shared" si="0"/>
        <v>1.05</v>
      </c>
      <c r="D43" s="54"/>
      <c r="E43" s="355" t="s">
        <v>164</v>
      </c>
      <c r="F43" s="438" t="s">
        <v>165</v>
      </c>
      <c r="G43" s="458" t="s">
        <v>158</v>
      </c>
      <c r="H43" s="179">
        <v>35</v>
      </c>
      <c r="I43" s="390"/>
      <c r="J43" s="80">
        <v>10.3</v>
      </c>
      <c r="K43" s="80">
        <v>17.7</v>
      </c>
      <c r="L43" s="296">
        <v>0.3</v>
      </c>
      <c r="M43" s="80"/>
      <c r="N43" s="391"/>
      <c r="O43" s="392" t="str">
        <f>IF(M43&lt;1.1*((N43*29000)/P43)^0.5,1,"NO")</f>
        <v>NO</v>
      </c>
      <c r="P43" s="297">
        <v>50</v>
      </c>
      <c r="Q43" s="64">
        <v>1.5</v>
      </c>
      <c r="R43" s="297">
        <v>4</v>
      </c>
      <c r="S43" s="80">
        <v>4</v>
      </c>
      <c r="T43" s="297">
        <v>115</v>
      </c>
      <c r="U43" s="81">
        <v>282</v>
      </c>
      <c r="V43" s="80">
        <v>30</v>
      </c>
      <c r="W43" s="82">
        <f>MIN((V43/4)*12,U43)</f>
        <v>90</v>
      </c>
      <c r="X43" s="83">
        <f>J43*P43</f>
        <v>515</v>
      </c>
      <c r="Y43" s="84">
        <f>(J43*P43)/(0.85*R43*W43)</f>
        <v>1.6830065359477124</v>
      </c>
      <c r="Z43" s="303">
        <f>(0.9*((J43*P43*(K43/2))+(0.85*R43*Y43*W43*(S43-(Y43/2)))))/12</f>
        <v>463.82818627450985</v>
      </c>
      <c r="AA43" s="132">
        <f>IF(I43="v",0.9,1)</f>
        <v>1</v>
      </c>
      <c r="AB43" s="86">
        <f>IF(O43="NO",AA43*0.6*P43*K43*L43,AA43*0.6*P43*K43*L43*O43)</f>
        <v>159.29999999999998</v>
      </c>
      <c r="AC43" s="64">
        <v>17.2</v>
      </c>
      <c r="AD43" s="85">
        <f>(X43/AC43)*2</f>
        <v>59.88372093023256</v>
      </c>
      <c r="AE43" s="34">
        <v>30</v>
      </c>
      <c r="AF43" s="34">
        <v>1.6</v>
      </c>
      <c r="AG43" s="31">
        <v>29</v>
      </c>
      <c r="AH43" s="31">
        <v>0</v>
      </c>
      <c r="AI43" s="112">
        <f>((AE43+AG43+AF43)*(U43/12))+H43+AH43</f>
        <v>1459.1000000000001</v>
      </c>
      <c r="AJ43" s="31">
        <v>80</v>
      </c>
      <c r="AK43" s="30">
        <f>IF(0.25+(15/($F$8*V43*(U43/12))^0.5)&gt;0.5,IF(0.25+(15/($F$8*V43*(U43/12))^0.5)&gt;1,1,0.25+(15/($F$8*V43*(U43/12))^0.5)),0.5)</f>
        <v>0.6494677309684806</v>
      </c>
      <c r="AL43" s="52">
        <f>(AJ43*AK43)*(U43/12)</f>
        <v>1220.9993342207438</v>
      </c>
      <c r="AM43" s="52">
        <f>(1.2*AI43)+(1.6*AL43)</f>
        <v>3704.5189347531905</v>
      </c>
      <c r="AN43" s="52">
        <f>1.4*AI43</f>
        <v>2042.74</v>
      </c>
      <c r="AO43" s="30">
        <f>MAX((AN43*V43*V43)/8000,(AM43*V43*V43)/8000)</f>
        <v>416.7583801597339</v>
      </c>
      <c r="AP43" s="128">
        <f>MAX(AN43*V43/2000,AM43*V43/2000)</f>
        <v>55.567784021297854</v>
      </c>
      <c r="AQ43" s="91" t="str">
        <f>IF(AND(Z43&gt;AO43,AB43&gt;AP43),"OK","NG")</f>
        <v>OK</v>
      </c>
      <c r="AR43" s="120">
        <f>((AF43+AG43)*(U43/12))+H43</f>
        <v>754.1</v>
      </c>
      <c r="AS43" s="255">
        <f t="shared" si="18"/>
        <v>62.84166666666667</v>
      </c>
      <c r="AT43" s="52">
        <f>AJ43*(U43/12)</f>
        <v>1880</v>
      </c>
      <c r="AU43" s="52">
        <f t="shared" si="20"/>
        <v>156.66666666666666</v>
      </c>
      <c r="AV43" s="31">
        <v>510</v>
      </c>
      <c r="AW43" s="63">
        <f>(AR43*V43*V43)/8000</f>
        <v>84.83625</v>
      </c>
      <c r="AX43" s="119"/>
      <c r="AY43" s="125">
        <v>0</v>
      </c>
      <c r="AZ43" s="256">
        <f>S43-Y43/2</f>
        <v>3.1584967320261437</v>
      </c>
      <c r="BA43" s="67">
        <v>1230</v>
      </c>
      <c r="BB43" s="257">
        <f>(5*(AS43)*((V43*12)^4))/(384*29000000*AV43)</f>
        <v>0.9292408722109535</v>
      </c>
      <c r="BC43" s="63">
        <f>(5*(AU43)*((V43*12)^4))/(384*29000000*BA43)</f>
        <v>0.9605550883095036</v>
      </c>
      <c r="BD43" s="130">
        <f>(V43/360)*12</f>
        <v>1</v>
      </c>
      <c r="BE43" s="91" t="str">
        <f>IF(BB43&gt;BD43,"NG","OK")</f>
        <v>OK</v>
      </c>
      <c r="BF43" s="91" t="str">
        <f>IF(BC43&gt;BD43,"NG","OK")</f>
        <v>OK</v>
      </c>
    </row>
    <row r="44" spans="2:58" ht="12" thickBot="1">
      <c r="B44" s="381">
        <v>1</v>
      </c>
      <c r="C44" s="513">
        <f t="shared" si="0"/>
        <v>1.05</v>
      </c>
      <c r="D44" s="54"/>
      <c r="E44" s="393" t="s">
        <v>172</v>
      </c>
      <c r="F44" s="459" t="s">
        <v>173</v>
      </c>
      <c r="G44" s="77" t="s">
        <v>158</v>
      </c>
      <c r="H44" s="305">
        <v>35</v>
      </c>
      <c r="I44" s="394"/>
      <c r="J44" s="306">
        <v>10.3</v>
      </c>
      <c r="K44" s="306">
        <v>17.7</v>
      </c>
      <c r="L44" s="307">
        <v>0.3</v>
      </c>
      <c r="M44" s="306"/>
      <c r="N44" s="398"/>
      <c r="O44" s="373" t="str">
        <f>IF(M44&lt;1.1*((N44*29000)/P44)^0.5,1,"NO")</f>
        <v>NO</v>
      </c>
      <c r="P44" s="286">
        <v>50</v>
      </c>
      <c r="Q44" s="36">
        <v>1.5</v>
      </c>
      <c r="R44" s="286">
        <v>4</v>
      </c>
      <c r="S44" s="306">
        <v>4</v>
      </c>
      <c r="T44" s="286">
        <v>115</v>
      </c>
      <c r="U44" s="35">
        <v>282</v>
      </c>
      <c r="V44" s="306">
        <v>30</v>
      </c>
      <c r="W44" s="148">
        <f>MIN((V44/4)*12,U44)</f>
        <v>90</v>
      </c>
      <c r="X44" s="149">
        <f>J44*P44</f>
        <v>515</v>
      </c>
      <c r="Y44" s="150">
        <f>(J44*P44)/(0.85*R44*W44)</f>
        <v>1.6830065359477124</v>
      </c>
      <c r="Z44" s="374">
        <f>(0.9*((J44*P44*(K44/2))+(0.85*R44*Y44*W44*(S44-(Y44/2)))))/12</f>
        <v>463.82818627450985</v>
      </c>
      <c r="AA44" s="375">
        <f>IF(I44="v",0.9,1)</f>
        <v>1</v>
      </c>
      <c r="AB44" s="308">
        <f>IF(O44="NO",AA44*0.6*P44*K44*L44,AA44*0.6*P44*K44*L44*O44)</f>
        <v>159.29999999999998</v>
      </c>
      <c r="AC44" s="36">
        <v>17.2</v>
      </c>
      <c r="AD44" s="376">
        <f>(X44/AC44)*2</f>
        <v>59.88372093023256</v>
      </c>
      <c r="AE44" s="286">
        <v>30</v>
      </c>
      <c r="AF44" s="286">
        <v>1.6</v>
      </c>
      <c r="AG44" s="35">
        <v>29</v>
      </c>
      <c r="AH44" s="35">
        <v>0</v>
      </c>
      <c r="AI44" s="377">
        <f>((AE44+AG44+AF44)*(U44/12))+H44+AH44</f>
        <v>1459.1000000000001</v>
      </c>
      <c r="AJ44" s="35">
        <v>80</v>
      </c>
      <c r="AK44" s="148">
        <f>IF(0.25+(15/($F$8*V44*(U44/12))^0.5)&gt;0.5,IF(0.25+(15/($F$8*V44*(U44/12))^0.5)&gt;1,1,0.25+(15/($F$8*V44*(U44/12))^0.5)),0.5)</f>
        <v>0.6494677309684806</v>
      </c>
      <c r="AL44" s="376">
        <f>(AJ44*AK44)*(U44/12)</f>
        <v>1220.9993342207438</v>
      </c>
      <c r="AM44" s="376">
        <f>(1.2*AI44)+(1.6*AL44)</f>
        <v>3704.5189347531905</v>
      </c>
      <c r="AN44" s="376">
        <f>1.4*AI44</f>
        <v>2042.74</v>
      </c>
      <c r="AO44" s="148">
        <f>MAX((AN44*V44*V44)/8000,(AM44*V44*V44)/8000)</f>
        <v>416.7583801597339</v>
      </c>
      <c r="AP44" s="308">
        <f>MAX(AN44*V44/2000,AM44*V44/2000)</f>
        <v>55.567784021297854</v>
      </c>
      <c r="AQ44" s="311" t="str">
        <f>IF(AND(Z44&gt;AO44,AB44&gt;AP44),"OK","NG")</f>
        <v>OK</v>
      </c>
      <c r="AR44" s="378">
        <f>((AF44+AG44)*(U44/12))+H44</f>
        <v>754.1</v>
      </c>
      <c r="AS44" s="379">
        <f t="shared" si="18"/>
        <v>62.84166666666667</v>
      </c>
      <c r="AT44" s="376">
        <f>AJ44*(U44/12)</f>
        <v>1880</v>
      </c>
      <c r="AU44" s="376">
        <f t="shared" si="20"/>
        <v>156.66666666666666</v>
      </c>
      <c r="AV44" s="35">
        <v>510</v>
      </c>
      <c r="AW44" s="380">
        <f>(AR44*V44*V44)/8000</f>
        <v>84.83625</v>
      </c>
      <c r="AX44" s="381"/>
      <c r="AY44" s="382">
        <v>0</v>
      </c>
      <c r="AZ44" s="383">
        <f>S44-Y44/2</f>
        <v>3.1584967320261437</v>
      </c>
      <c r="BA44" s="368">
        <v>1230</v>
      </c>
      <c r="BB44" s="310">
        <f>(5*(AS44)*((V44*12)^4))/(384*29000000*AV44)</f>
        <v>0.9292408722109535</v>
      </c>
      <c r="BC44" s="380">
        <f>(5*(AU44)*((V44*12)^4))/(384*29000000*BA44)</f>
        <v>0.9605550883095036</v>
      </c>
      <c r="BD44" s="384">
        <f>(V44/360)*12</f>
        <v>1</v>
      </c>
      <c r="BE44" s="385" t="str">
        <f>IF(BB44&gt;BD44,"NG","OK")</f>
        <v>OK</v>
      </c>
      <c r="BF44" s="385" t="str">
        <f>IF(BC44&gt;BD44,"NG","OK")</f>
        <v>OK</v>
      </c>
    </row>
    <row r="45" spans="2:58" ht="11.25">
      <c r="B45" s="254">
        <v>1</v>
      </c>
      <c r="C45" s="507">
        <f t="shared" si="0"/>
        <v>0.9625</v>
      </c>
      <c r="D45" s="54"/>
      <c r="E45" s="355" t="s">
        <v>187</v>
      </c>
      <c r="F45" s="178" t="s">
        <v>188</v>
      </c>
      <c r="G45" s="179" t="s">
        <v>158</v>
      </c>
      <c r="H45" s="295">
        <v>35</v>
      </c>
      <c r="I45" s="390"/>
      <c r="J45" s="80">
        <v>10.3</v>
      </c>
      <c r="K45" s="80">
        <v>17.7</v>
      </c>
      <c r="L45" s="296">
        <v>0.3</v>
      </c>
      <c r="M45" s="80"/>
      <c r="N45" s="391"/>
      <c r="O45" s="392" t="str">
        <f t="shared" si="1"/>
        <v>NO</v>
      </c>
      <c r="P45" s="297">
        <v>50</v>
      </c>
      <c r="Q45" s="64">
        <v>1.5</v>
      </c>
      <c r="R45" s="297">
        <v>4</v>
      </c>
      <c r="S45" s="80">
        <v>4</v>
      </c>
      <c r="T45" s="297">
        <v>115</v>
      </c>
      <c r="U45" s="81">
        <v>240</v>
      </c>
      <c r="V45" s="80">
        <v>27.5</v>
      </c>
      <c r="W45" s="82">
        <f t="shared" si="2"/>
        <v>82.5</v>
      </c>
      <c r="X45" s="83">
        <f t="shared" si="3"/>
        <v>515</v>
      </c>
      <c r="Y45" s="84">
        <f t="shared" si="4"/>
        <v>1.8360071301247771</v>
      </c>
      <c r="Z45" s="211">
        <f t="shared" si="5"/>
        <v>460.87336229946527</v>
      </c>
      <c r="AA45" s="132">
        <f t="shared" si="6"/>
        <v>1</v>
      </c>
      <c r="AB45" s="86">
        <f t="shared" si="7"/>
        <v>159.29999999999998</v>
      </c>
      <c r="AC45" s="64">
        <v>17.2</v>
      </c>
      <c r="AD45" s="85">
        <f t="shared" si="8"/>
        <v>59.88372093023256</v>
      </c>
      <c r="AE45" s="297">
        <v>30</v>
      </c>
      <c r="AF45" s="297">
        <v>1.6</v>
      </c>
      <c r="AG45" s="81">
        <v>29</v>
      </c>
      <c r="AH45" s="81">
        <v>0</v>
      </c>
      <c r="AI45" s="454">
        <f t="shared" si="9"/>
        <v>1247</v>
      </c>
      <c r="AJ45" s="410">
        <v>80</v>
      </c>
      <c r="AK45" s="82">
        <f t="shared" si="10"/>
        <v>0.7022670168666454</v>
      </c>
      <c r="AL45" s="85">
        <f t="shared" si="11"/>
        <v>1123.6272269866326</v>
      </c>
      <c r="AM45" s="85">
        <f t="shared" si="12"/>
        <v>3294.203563178612</v>
      </c>
      <c r="AN45" s="85">
        <f t="shared" si="13"/>
        <v>1745.8</v>
      </c>
      <c r="AO45" s="82">
        <f t="shared" si="14"/>
        <v>311.4051805817282</v>
      </c>
      <c r="AP45" s="86">
        <f t="shared" si="15"/>
        <v>45.29529899370592</v>
      </c>
      <c r="AQ45" s="89" t="str">
        <f t="shared" si="16"/>
        <v>OK</v>
      </c>
      <c r="AR45" s="103">
        <f t="shared" si="17"/>
        <v>647</v>
      </c>
      <c r="AS45" s="289">
        <f t="shared" si="18"/>
        <v>53.916666666666664</v>
      </c>
      <c r="AT45" s="290">
        <f t="shared" si="19"/>
        <v>1600</v>
      </c>
      <c r="AU45" s="290">
        <f t="shared" si="20"/>
        <v>133.33333333333334</v>
      </c>
      <c r="AV45" s="24">
        <v>510</v>
      </c>
      <c r="AW45" s="68">
        <f t="shared" si="21"/>
        <v>61.16171875</v>
      </c>
      <c r="AX45" s="118"/>
      <c r="AY45" s="126">
        <v>0</v>
      </c>
      <c r="AZ45" s="291">
        <f t="shared" si="22"/>
        <v>3.0819964349376114</v>
      </c>
      <c r="BA45" s="66">
        <v>1230</v>
      </c>
      <c r="BB45" s="292">
        <f t="shared" si="23"/>
        <v>0.5629235270347364</v>
      </c>
      <c r="BC45" s="68">
        <f t="shared" si="24"/>
        <v>0.5772051093355762</v>
      </c>
      <c r="BD45" s="102">
        <f t="shared" si="25"/>
        <v>0.9166666666666667</v>
      </c>
      <c r="BE45" s="90" t="str">
        <f t="shared" si="26"/>
        <v>OK</v>
      </c>
      <c r="BF45" s="90" t="str">
        <f t="shared" si="27"/>
        <v>OK</v>
      </c>
    </row>
    <row r="46" spans="2:58" ht="12" thickBot="1">
      <c r="B46" s="165">
        <v>1</v>
      </c>
      <c r="C46" s="507">
        <f t="shared" si="0"/>
        <v>0.8525</v>
      </c>
      <c r="D46" s="54"/>
      <c r="E46" s="393" t="s">
        <v>168</v>
      </c>
      <c r="F46" s="62" t="s">
        <v>169</v>
      </c>
      <c r="G46" s="268" t="s">
        <v>170</v>
      </c>
      <c r="H46" s="273">
        <v>31</v>
      </c>
      <c r="I46" s="273"/>
      <c r="J46" s="406">
        <v>9.13</v>
      </c>
      <c r="K46" s="406">
        <v>15.9</v>
      </c>
      <c r="L46" s="407">
        <v>0.275</v>
      </c>
      <c r="M46" s="100"/>
      <c r="N46" s="156"/>
      <c r="O46" s="158" t="str">
        <f t="shared" si="1"/>
        <v>NO</v>
      </c>
      <c r="P46" s="109">
        <v>50</v>
      </c>
      <c r="Q46" s="95">
        <v>1.5</v>
      </c>
      <c r="R46" s="109">
        <v>4</v>
      </c>
      <c r="S46" s="100">
        <v>4</v>
      </c>
      <c r="T46" s="109">
        <v>115</v>
      </c>
      <c r="U46" s="108">
        <v>240</v>
      </c>
      <c r="V46" s="100">
        <v>27.5</v>
      </c>
      <c r="W46" s="107">
        <f t="shared" si="2"/>
        <v>82.5</v>
      </c>
      <c r="X46" s="105">
        <f t="shared" si="3"/>
        <v>456.50000000000006</v>
      </c>
      <c r="Y46" s="117">
        <f t="shared" si="4"/>
        <v>1.627450980392157</v>
      </c>
      <c r="Z46" s="384">
        <f t="shared" si="5"/>
        <v>381.27819852941184</v>
      </c>
      <c r="AA46" s="375">
        <f t="shared" si="6"/>
        <v>1</v>
      </c>
      <c r="AB46" s="308">
        <f t="shared" si="7"/>
        <v>131.175</v>
      </c>
      <c r="AC46" s="36">
        <v>17.2</v>
      </c>
      <c r="AD46" s="376">
        <f t="shared" si="8"/>
        <v>53.08139534883722</v>
      </c>
      <c r="AE46" s="286">
        <v>30</v>
      </c>
      <c r="AF46" s="286">
        <v>1.6</v>
      </c>
      <c r="AG46" s="35">
        <v>29</v>
      </c>
      <c r="AH46" s="35">
        <v>0</v>
      </c>
      <c r="AI46" s="377">
        <f t="shared" si="9"/>
        <v>1243</v>
      </c>
      <c r="AJ46" s="35">
        <v>80</v>
      </c>
      <c r="AK46" s="148">
        <f t="shared" si="10"/>
        <v>0.7022670168666454</v>
      </c>
      <c r="AL46" s="376">
        <f t="shared" si="11"/>
        <v>1123.6272269866326</v>
      </c>
      <c r="AM46" s="376">
        <f t="shared" si="12"/>
        <v>3289.4035631786123</v>
      </c>
      <c r="AN46" s="376">
        <f t="shared" si="13"/>
        <v>1740.1999999999998</v>
      </c>
      <c r="AO46" s="148">
        <f t="shared" si="14"/>
        <v>310.9514305817282</v>
      </c>
      <c r="AP46" s="129">
        <f t="shared" si="15"/>
        <v>45.22929899370592</v>
      </c>
      <c r="AQ46" s="311" t="str">
        <f t="shared" si="16"/>
        <v>OK</v>
      </c>
      <c r="AR46" s="378">
        <f t="shared" si="17"/>
        <v>643</v>
      </c>
      <c r="AS46" s="379">
        <f t="shared" si="18"/>
        <v>53.583333333333336</v>
      </c>
      <c r="AT46" s="376">
        <f t="shared" si="19"/>
        <v>1600</v>
      </c>
      <c r="AU46" s="376">
        <f t="shared" si="20"/>
        <v>133.33333333333334</v>
      </c>
      <c r="AV46" s="35">
        <v>375</v>
      </c>
      <c r="AW46" s="380">
        <f t="shared" si="21"/>
        <v>60.78359375</v>
      </c>
      <c r="AX46" s="381"/>
      <c r="AY46" s="382">
        <v>0</v>
      </c>
      <c r="AZ46" s="383">
        <f t="shared" si="22"/>
        <v>3.1862745098039214</v>
      </c>
      <c r="BA46" s="368">
        <v>940</v>
      </c>
      <c r="BB46" s="310">
        <f t="shared" si="23"/>
        <v>0.7608429148706897</v>
      </c>
      <c r="BC46" s="380">
        <f t="shared" si="24"/>
        <v>0.755279026045488</v>
      </c>
      <c r="BD46" s="384">
        <f t="shared" si="25"/>
        <v>0.9166666666666667</v>
      </c>
      <c r="BE46" s="385" t="str">
        <f t="shared" si="26"/>
        <v>OK</v>
      </c>
      <c r="BF46" s="385" t="str">
        <f t="shared" si="27"/>
        <v>OK</v>
      </c>
    </row>
    <row r="47" spans="2:58" ht="11.25">
      <c r="B47" s="254">
        <v>1</v>
      </c>
      <c r="C47" s="503">
        <f t="shared" si="0"/>
        <v>0.75</v>
      </c>
      <c r="D47" s="54"/>
      <c r="E47" s="250" t="s">
        <v>174</v>
      </c>
      <c r="F47" s="401" t="s">
        <v>175</v>
      </c>
      <c r="G47" s="179" t="s">
        <v>163</v>
      </c>
      <c r="H47" s="295">
        <v>30</v>
      </c>
      <c r="I47" s="390"/>
      <c r="J47" s="80">
        <v>8.85</v>
      </c>
      <c r="K47" s="80">
        <v>13.8</v>
      </c>
      <c r="L47" s="296">
        <v>0.27</v>
      </c>
      <c r="M47" s="80"/>
      <c r="N47" s="391"/>
      <c r="O47" s="392" t="str">
        <f t="shared" si="1"/>
        <v>NO</v>
      </c>
      <c r="P47" s="297">
        <v>50</v>
      </c>
      <c r="Q47" s="64">
        <v>1.5</v>
      </c>
      <c r="R47" s="297">
        <v>4</v>
      </c>
      <c r="S47" s="80">
        <v>4</v>
      </c>
      <c r="T47" s="297">
        <v>115</v>
      </c>
      <c r="U47" s="182">
        <v>270</v>
      </c>
      <c r="V47" s="74">
        <v>25</v>
      </c>
      <c r="W47" s="82">
        <f t="shared" si="2"/>
        <v>75</v>
      </c>
      <c r="X47" s="83">
        <f t="shared" si="3"/>
        <v>442.5</v>
      </c>
      <c r="Y47" s="84">
        <f t="shared" si="4"/>
        <v>1.7352941176470589</v>
      </c>
      <c r="Z47" s="402">
        <f t="shared" si="5"/>
        <v>332.9487132352941</v>
      </c>
      <c r="AA47" s="403">
        <f t="shared" si="6"/>
        <v>1</v>
      </c>
      <c r="AB47" s="209">
        <f t="shared" si="7"/>
        <v>111.78</v>
      </c>
      <c r="AC47" s="6">
        <v>17.2</v>
      </c>
      <c r="AD47" s="143">
        <f t="shared" si="8"/>
        <v>51.45348837209303</v>
      </c>
      <c r="AE47" s="4">
        <v>30</v>
      </c>
      <c r="AF47" s="4">
        <v>1.6</v>
      </c>
      <c r="AG47" s="141">
        <v>29</v>
      </c>
      <c r="AH47" s="141">
        <v>0</v>
      </c>
      <c r="AI47" s="144">
        <f t="shared" si="9"/>
        <v>1393.5</v>
      </c>
      <c r="AJ47" s="81">
        <v>80</v>
      </c>
      <c r="AK47" s="82">
        <f t="shared" si="10"/>
        <v>0.697213595499958</v>
      </c>
      <c r="AL47" s="85">
        <f t="shared" si="11"/>
        <v>1254.9844718999243</v>
      </c>
      <c r="AM47" s="85">
        <f t="shared" si="12"/>
        <v>3680.175155039879</v>
      </c>
      <c r="AN47" s="85">
        <f t="shared" si="13"/>
        <v>1950.8999999999999</v>
      </c>
      <c r="AO47" s="82">
        <f t="shared" si="14"/>
        <v>287.51368398749054</v>
      </c>
      <c r="AP47" s="86">
        <f t="shared" si="15"/>
        <v>46.00218943799849</v>
      </c>
      <c r="AQ47" s="89" t="str">
        <f t="shared" si="16"/>
        <v>OK</v>
      </c>
      <c r="AR47" s="103">
        <f t="shared" si="17"/>
        <v>718.5</v>
      </c>
      <c r="AS47" s="289">
        <f t="shared" si="18"/>
        <v>59.875</v>
      </c>
      <c r="AT47" s="290">
        <f t="shared" si="19"/>
        <v>1800</v>
      </c>
      <c r="AU47" s="290">
        <f t="shared" si="20"/>
        <v>150</v>
      </c>
      <c r="AV47" s="24">
        <v>291</v>
      </c>
      <c r="AW47" s="68">
        <f t="shared" si="21"/>
        <v>56.1328125</v>
      </c>
      <c r="AX47" s="118"/>
      <c r="AY47" s="126">
        <v>0</v>
      </c>
      <c r="AZ47" s="291">
        <f t="shared" si="22"/>
        <v>3.1323529411764706</v>
      </c>
      <c r="BA47" s="66">
        <v>738</v>
      </c>
      <c r="BB47" s="292">
        <f t="shared" si="23"/>
        <v>0.748304468094561</v>
      </c>
      <c r="BC47" s="68">
        <f t="shared" si="24"/>
        <v>0.7391978553406223</v>
      </c>
      <c r="BD47" s="102">
        <f t="shared" si="25"/>
        <v>0.8333333333333334</v>
      </c>
      <c r="BE47" s="90" t="str">
        <f t="shared" si="26"/>
        <v>OK</v>
      </c>
      <c r="BF47" s="90" t="str">
        <f t="shared" si="27"/>
        <v>OK</v>
      </c>
    </row>
    <row r="48" spans="2:58" ht="11.25">
      <c r="B48" s="119">
        <v>1</v>
      </c>
      <c r="C48" s="512">
        <f t="shared" si="0"/>
        <v>0.9625</v>
      </c>
      <c r="D48" s="54"/>
      <c r="E48" s="357" t="s">
        <v>175</v>
      </c>
      <c r="F48" s="404" t="s">
        <v>176</v>
      </c>
      <c r="G48" s="179" t="s">
        <v>158</v>
      </c>
      <c r="H48" s="179">
        <v>35</v>
      </c>
      <c r="I48" s="390"/>
      <c r="J48" s="80">
        <v>10.3</v>
      </c>
      <c r="K48" s="80">
        <v>17.7</v>
      </c>
      <c r="L48" s="296">
        <v>0.3</v>
      </c>
      <c r="M48" s="80"/>
      <c r="N48" s="391"/>
      <c r="O48" s="216" t="str">
        <f t="shared" si="1"/>
        <v>NO</v>
      </c>
      <c r="P48" s="11">
        <v>50</v>
      </c>
      <c r="Q48" s="13">
        <v>1.5</v>
      </c>
      <c r="R48" s="11">
        <v>4</v>
      </c>
      <c r="S48" s="74">
        <v>4</v>
      </c>
      <c r="T48" s="11">
        <v>115</v>
      </c>
      <c r="U48" s="31">
        <v>282</v>
      </c>
      <c r="V48" s="29">
        <v>27.5</v>
      </c>
      <c r="W48" s="30">
        <f t="shared" si="2"/>
        <v>82.5</v>
      </c>
      <c r="X48" s="146">
        <f t="shared" si="3"/>
        <v>515</v>
      </c>
      <c r="Y48" s="147">
        <f t="shared" si="4"/>
        <v>1.8360071301247771</v>
      </c>
      <c r="Z48" s="130">
        <f t="shared" si="5"/>
        <v>460.87336229946527</v>
      </c>
      <c r="AA48" s="131">
        <f t="shared" si="6"/>
        <v>1</v>
      </c>
      <c r="AB48" s="128">
        <f t="shared" si="7"/>
        <v>159.29999999999998</v>
      </c>
      <c r="AC48" s="33">
        <v>17.2</v>
      </c>
      <c r="AD48" s="52">
        <f t="shared" si="8"/>
        <v>59.88372093023256</v>
      </c>
      <c r="AE48" s="34">
        <v>30</v>
      </c>
      <c r="AF48" s="34">
        <v>1.6</v>
      </c>
      <c r="AG48" s="31">
        <v>29</v>
      </c>
      <c r="AH48" s="31">
        <v>0</v>
      </c>
      <c r="AI48" s="112">
        <f t="shared" si="9"/>
        <v>1459.1000000000001</v>
      </c>
      <c r="AJ48" s="31">
        <v>80</v>
      </c>
      <c r="AK48" s="30">
        <f t="shared" si="10"/>
        <v>0.6672304374216065</v>
      </c>
      <c r="AL48" s="52">
        <f t="shared" si="11"/>
        <v>1254.3932223526201</v>
      </c>
      <c r="AM48" s="52">
        <f t="shared" si="12"/>
        <v>3757.9491557641923</v>
      </c>
      <c r="AN48" s="52">
        <f t="shared" si="13"/>
        <v>2042.74</v>
      </c>
      <c r="AO48" s="30">
        <f t="shared" si="14"/>
        <v>355.2436311308338</v>
      </c>
      <c r="AP48" s="128">
        <f t="shared" si="15"/>
        <v>51.67180089175764</v>
      </c>
      <c r="AQ48" s="91" t="str">
        <f t="shared" si="16"/>
        <v>OK</v>
      </c>
      <c r="AR48" s="120">
        <f t="shared" si="17"/>
        <v>754.1</v>
      </c>
      <c r="AS48" s="255">
        <f t="shared" si="18"/>
        <v>62.84166666666667</v>
      </c>
      <c r="AT48" s="52">
        <f t="shared" si="19"/>
        <v>1880</v>
      </c>
      <c r="AU48" s="52">
        <f t="shared" si="20"/>
        <v>156.66666666666666</v>
      </c>
      <c r="AV48" s="31">
        <v>510</v>
      </c>
      <c r="AW48" s="63">
        <f t="shared" si="21"/>
        <v>71.286015625</v>
      </c>
      <c r="AX48" s="119"/>
      <c r="AY48" s="125">
        <v>0</v>
      </c>
      <c r="AZ48" s="256">
        <f t="shared" si="22"/>
        <v>3.0819964349376114</v>
      </c>
      <c r="BA48" s="67">
        <v>1230</v>
      </c>
      <c r="BB48" s="257">
        <f t="shared" si="23"/>
        <v>0.6561060768730984</v>
      </c>
      <c r="BC48" s="63">
        <f t="shared" si="24"/>
        <v>0.6782160034693019</v>
      </c>
      <c r="BD48" s="130">
        <f t="shared" si="25"/>
        <v>0.9166666666666667</v>
      </c>
      <c r="BE48" s="91" t="str">
        <f t="shared" si="26"/>
        <v>OK</v>
      </c>
      <c r="BF48" s="91" t="str">
        <f t="shared" si="27"/>
        <v>OK</v>
      </c>
    </row>
    <row r="49" spans="2:58" ht="11.25">
      <c r="B49" s="119">
        <v>1</v>
      </c>
      <c r="C49" s="512">
        <f t="shared" si="0"/>
        <v>0.9625</v>
      </c>
      <c r="D49" s="54"/>
      <c r="E49" s="357" t="s">
        <v>176</v>
      </c>
      <c r="F49" s="404" t="s">
        <v>177</v>
      </c>
      <c r="G49" s="179" t="s">
        <v>158</v>
      </c>
      <c r="H49" s="179">
        <v>35</v>
      </c>
      <c r="I49" s="272"/>
      <c r="J49" s="80">
        <v>10.3</v>
      </c>
      <c r="K49" s="80">
        <v>17.7</v>
      </c>
      <c r="L49" s="296">
        <v>0.3</v>
      </c>
      <c r="M49" s="29"/>
      <c r="N49" s="155"/>
      <c r="O49" s="157" t="str">
        <f t="shared" si="1"/>
        <v>NO</v>
      </c>
      <c r="P49" s="34">
        <v>50</v>
      </c>
      <c r="Q49" s="33">
        <v>1.5</v>
      </c>
      <c r="R49" s="34">
        <v>4</v>
      </c>
      <c r="S49" s="29">
        <v>4</v>
      </c>
      <c r="T49" s="34">
        <v>115</v>
      </c>
      <c r="U49" s="31">
        <v>282</v>
      </c>
      <c r="V49" s="29">
        <v>27.5</v>
      </c>
      <c r="W49" s="30">
        <f t="shared" si="2"/>
        <v>82.5</v>
      </c>
      <c r="X49" s="146">
        <f t="shared" si="3"/>
        <v>515</v>
      </c>
      <c r="Y49" s="147">
        <f t="shared" si="4"/>
        <v>1.8360071301247771</v>
      </c>
      <c r="Z49" s="130">
        <f t="shared" si="5"/>
        <v>460.87336229946527</v>
      </c>
      <c r="AA49" s="131">
        <f t="shared" si="6"/>
        <v>1</v>
      </c>
      <c r="AB49" s="128">
        <f t="shared" si="7"/>
        <v>159.29999999999998</v>
      </c>
      <c r="AC49" s="33">
        <v>17.2</v>
      </c>
      <c r="AD49" s="52">
        <f t="shared" si="8"/>
        <v>59.88372093023256</v>
      </c>
      <c r="AE49" s="34">
        <v>30</v>
      </c>
      <c r="AF49" s="34">
        <v>1.6</v>
      </c>
      <c r="AG49" s="31">
        <v>29</v>
      </c>
      <c r="AH49" s="31">
        <v>0</v>
      </c>
      <c r="AI49" s="112">
        <f t="shared" si="9"/>
        <v>1459.1000000000001</v>
      </c>
      <c r="AJ49" s="31">
        <v>80</v>
      </c>
      <c r="AK49" s="30">
        <f t="shared" si="10"/>
        <v>0.6672304374216065</v>
      </c>
      <c r="AL49" s="52">
        <f t="shared" si="11"/>
        <v>1254.3932223526201</v>
      </c>
      <c r="AM49" s="52">
        <f t="shared" si="12"/>
        <v>3757.9491557641923</v>
      </c>
      <c r="AN49" s="52">
        <f t="shared" si="13"/>
        <v>2042.74</v>
      </c>
      <c r="AO49" s="30">
        <f t="shared" si="14"/>
        <v>355.2436311308338</v>
      </c>
      <c r="AP49" s="128">
        <f t="shared" si="15"/>
        <v>51.67180089175764</v>
      </c>
      <c r="AQ49" s="91" t="str">
        <f t="shared" si="16"/>
        <v>OK</v>
      </c>
      <c r="AR49" s="213">
        <f t="shared" si="17"/>
        <v>754.1</v>
      </c>
      <c r="AS49" s="255">
        <f t="shared" si="18"/>
        <v>62.84166666666667</v>
      </c>
      <c r="AT49" s="52">
        <f t="shared" si="19"/>
        <v>1880</v>
      </c>
      <c r="AU49" s="52">
        <f t="shared" si="20"/>
        <v>156.66666666666666</v>
      </c>
      <c r="AV49" s="31">
        <v>510</v>
      </c>
      <c r="AW49" s="63">
        <f t="shared" si="21"/>
        <v>71.286015625</v>
      </c>
      <c r="AX49" s="119"/>
      <c r="AY49" s="125">
        <v>0</v>
      </c>
      <c r="AZ49" s="256">
        <f t="shared" si="22"/>
        <v>3.0819964349376114</v>
      </c>
      <c r="BA49" s="67">
        <v>1230</v>
      </c>
      <c r="BB49" s="257">
        <f t="shared" si="23"/>
        <v>0.6561060768730984</v>
      </c>
      <c r="BC49" s="63">
        <f t="shared" si="24"/>
        <v>0.6782160034693019</v>
      </c>
      <c r="BD49" s="130">
        <f t="shared" si="25"/>
        <v>0.9166666666666667</v>
      </c>
      <c r="BE49" s="91" t="str">
        <f t="shared" si="26"/>
        <v>OK</v>
      </c>
      <c r="BF49" s="91" t="str">
        <f t="shared" si="27"/>
        <v>OK</v>
      </c>
    </row>
    <row r="50" spans="2:58" ht="12" thickBot="1">
      <c r="B50" s="165">
        <v>1</v>
      </c>
      <c r="C50" s="504">
        <f t="shared" si="0"/>
        <v>0.75</v>
      </c>
      <c r="D50" s="54"/>
      <c r="E50" s="393" t="s">
        <v>177</v>
      </c>
      <c r="F50" s="62" t="s">
        <v>178</v>
      </c>
      <c r="G50" s="115" t="s">
        <v>163</v>
      </c>
      <c r="H50" s="153">
        <v>30</v>
      </c>
      <c r="I50" s="273"/>
      <c r="J50" s="100">
        <v>8.85</v>
      </c>
      <c r="K50" s="100">
        <v>13.8</v>
      </c>
      <c r="L50" s="116">
        <v>0.27</v>
      </c>
      <c r="M50" s="100"/>
      <c r="N50" s="156"/>
      <c r="O50" s="158" t="str">
        <f t="shared" si="1"/>
        <v>NO</v>
      </c>
      <c r="P50" s="109">
        <v>50</v>
      </c>
      <c r="Q50" s="95">
        <v>1.5</v>
      </c>
      <c r="R50" s="109">
        <v>4</v>
      </c>
      <c r="S50" s="100">
        <v>4</v>
      </c>
      <c r="T50" s="109">
        <v>115</v>
      </c>
      <c r="U50" s="183">
        <v>270</v>
      </c>
      <c r="V50" s="100">
        <v>25</v>
      </c>
      <c r="W50" s="107">
        <f t="shared" si="2"/>
        <v>75</v>
      </c>
      <c r="X50" s="105">
        <f t="shared" si="3"/>
        <v>442.5</v>
      </c>
      <c r="Y50" s="117">
        <f t="shared" si="4"/>
        <v>1.7352941176470589</v>
      </c>
      <c r="Z50" s="384">
        <f t="shared" si="5"/>
        <v>332.9487132352941</v>
      </c>
      <c r="AA50" s="375">
        <f t="shared" si="6"/>
        <v>1</v>
      </c>
      <c r="AB50" s="308">
        <f t="shared" si="7"/>
        <v>111.78</v>
      </c>
      <c r="AC50" s="36">
        <v>17.2</v>
      </c>
      <c r="AD50" s="376">
        <f t="shared" si="8"/>
        <v>51.45348837209303</v>
      </c>
      <c r="AE50" s="286">
        <v>30</v>
      </c>
      <c r="AF50" s="286">
        <v>1.6</v>
      </c>
      <c r="AG50" s="35">
        <v>29</v>
      </c>
      <c r="AH50" s="35">
        <v>0</v>
      </c>
      <c r="AI50" s="133">
        <f t="shared" si="9"/>
        <v>1393.5</v>
      </c>
      <c r="AJ50" s="108">
        <v>80</v>
      </c>
      <c r="AK50" s="107">
        <f t="shared" si="10"/>
        <v>0.697213595499958</v>
      </c>
      <c r="AL50" s="376">
        <f t="shared" si="11"/>
        <v>1254.9844718999243</v>
      </c>
      <c r="AM50" s="376">
        <f t="shared" si="12"/>
        <v>3680.175155039879</v>
      </c>
      <c r="AN50" s="376">
        <f t="shared" si="13"/>
        <v>1950.8999999999999</v>
      </c>
      <c r="AO50" s="148">
        <f t="shared" si="14"/>
        <v>287.51368398749054</v>
      </c>
      <c r="AP50" s="129">
        <f t="shared" si="15"/>
        <v>46.00218943799849</v>
      </c>
      <c r="AQ50" s="311" t="str">
        <f t="shared" si="16"/>
        <v>OK</v>
      </c>
      <c r="AR50" s="378">
        <f t="shared" si="17"/>
        <v>718.5</v>
      </c>
      <c r="AS50" s="379">
        <f t="shared" si="18"/>
        <v>59.875</v>
      </c>
      <c r="AT50" s="376">
        <f t="shared" si="19"/>
        <v>1800</v>
      </c>
      <c r="AU50" s="376">
        <f t="shared" si="20"/>
        <v>150</v>
      </c>
      <c r="AV50" s="35">
        <v>291</v>
      </c>
      <c r="AW50" s="380">
        <f t="shared" si="21"/>
        <v>56.1328125</v>
      </c>
      <c r="AX50" s="381"/>
      <c r="AY50" s="382">
        <v>0</v>
      </c>
      <c r="AZ50" s="383">
        <f t="shared" si="22"/>
        <v>3.1323529411764706</v>
      </c>
      <c r="BA50" s="368">
        <v>738</v>
      </c>
      <c r="BB50" s="310">
        <f t="shared" si="23"/>
        <v>0.748304468094561</v>
      </c>
      <c r="BC50" s="380">
        <f t="shared" si="24"/>
        <v>0.7391978553406223</v>
      </c>
      <c r="BD50" s="384">
        <f t="shared" si="25"/>
        <v>0.8333333333333334</v>
      </c>
      <c r="BE50" s="385" t="str">
        <f t="shared" si="26"/>
        <v>OK</v>
      </c>
      <c r="BF50" s="385" t="str">
        <f t="shared" si="27"/>
        <v>OK</v>
      </c>
    </row>
    <row r="52" spans="5:12" ht="11.25">
      <c r="E52" s="241"/>
      <c r="F52" s="64"/>
      <c r="G52" s="64" t="s">
        <v>111</v>
      </c>
      <c r="H52" s="64"/>
      <c r="I52" s="64"/>
      <c r="J52" s="64"/>
      <c r="K52" s="64"/>
      <c r="L52" s="13"/>
    </row>
    <row r="53" spans="2:12" ht="12" thickBot="1">
      <c r="B53" s="13"/>
      <c r="E53" s="276"/>
      <c r="F53" s="277" t="s">
        <v>120</v>
      </c>
      <c r="G53" s="278"/>
      <c r="H53" s="278"/>
      <c r="I53" s="279" t="s">
        <v>121</v>
      </c>
      <c r="J53" s="279"/>
      <c r="K53" s="280" t="s">
        <v>122</v>
      </c>
      <c r="L53" s="167"/>
    </row>
    <row r="54" spans="2:12" ht="12" thickTop="1">
      <c r="B54" s="167"/>
      <c r="C54" s="169"/>
      <c r="E54" s="241"/>
      <c r="F54" s="434" t="s">
        <v>5</v>
      </c>
      <c r="J54" s="281" t="s">
        <v>195</v>
      </c>
      <c r="K54" s="167"/>
      <c r="L54" s="167"/>
    </row>
    <row r="55" spans="2:12" ht="11.25">
      <c r="B55" s="167"/>
      <c r="C55" s="169"/>
      <c r="E55" s="276"/>
      <c r="F55" s="8"/>
      <c r="G55" s="75"/>
      <c r="H55" s="8" t="s">
        <v>21</v>
      </c>
      <c r="I55" s="75"/>
      <c r="J55" s="8"/>
      <c r="K55" s="269"/>
      <c r="L55" s="167"/>
    </row>
    <row r="56" spans="2:12" ht="11.25">
      <c r="B56" s="167"/>
      <c r="C56" s="169"/>
      <c r="E56" s="276"/>
      <c r="F56" s="8"/>
      <c r="J56" s="13"/>
      <c r="K56" s="10"/>
      <c r="L56" s="13"/>
    </row>
    <row r="57" spans="2:64" ht="12" thickBot="1">
      <c r="B57" s="36"/>
      <c r="E57" s="433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</row>
    <row r="58" spans="2:69" ht="12" thickBot="1">
      <c r="B58" s="138"/>
      <c r="C58" s="502"/>
      <c r="D58" s="54"/>
      <c r="E58" s="431" t="s">
        <v>208</v>
      </c>
      <c r="F58" s="432" t="s">
        <v>194</v>
      </c>
      <c r="G58" s="36"/>
      <c r="H58" s="36"/>
      <c r="I58" s="177"/>
      <c r="J58" s="36"/>
      <c r="K58" s="408"/>
      <c r="L58" s="36"/>
      <c r="M58" s="408"/>
      <c r="N58" s="433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151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BB58" s="151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99"/>
      <c r="BN58" s="99"/>
      <c r="BO58" s="99"/>
      <c r="BP58" s="99"/>
      <c r="BQ58" s="122"/>
    </row>
    <row r="59" spans="2:69" ht="11.25">
      <c r="B59" s="446" t="s">
        <v>244</v>
      </c>
      <c r="C59" s="497" t="s">
        <v>56</v>
      </c>
      <c r="D59" s="54"/>
      <c r="E59" s="76"/>
      <c r="F59" s="56"/>
      <c r="G59" s="6" t="s">
        <v>58</v>
      </c>
      <c r="H59" s="6"/>
      <c r="I59" s="188"/>
      <c r="J59" s="6"/>
      <c r="K59" s="6"/>
      <c r="L59" s="6"/>
      <c r="M59" s="220"/>
      <c r="N59" s="243"/>
      <c r="O59" s="6"/>
      <c r="P59" s="3"/>
      <c r="Q59" s="38" t="s">
        <v>34</v>
      </c>
      <c r="R59" s="70"/>
      <c r="S59" s="26" t="s">
        <v>61</v>
      </c>
      <c r="T59" s="50"/>
      <c r="U59" s="5" t="s">
        <v>25</v>
      </c>
      <c r="V59" s="4"/>
      <c r="W59" s="4"/>
      <c r="X59" s="14" t="s">
        <v>49</v>
      </c>
      <c r="Y59" s="7"/>
      <c r="Z59" s="37"/>
      <c r="AA59" s="163" t="s">
        <v>96</v>
      </c>
      <c r="AB59" s="159"/>
      <c r="AC59" s="38" t="s">
        <v>17</v>
      </c>
      <c r="AD59" s="4"/>
      <c r="AE59" s="15" t="s">
        <v>7</v>
      </c>
      <c r="AF59" s="15" t="s">
        <v>7</v>
      </c>
      <c r="AG59" s="259" t="s">
        <v>7</v>
      </c>
      <c r="AH59" s="14" t="s">
        <v>7</v>
      </c>
      <c r="AI59" s="15" t="s">
        <v>7</v>
      </c>
      <c r="AJ59" s="42" t="s">
        <v>113</v>
      </c>
      <c r="AK59" s="45" t="s">
        <v>8</v>
      </c>
      <c r="AL59" s="98" t="s">
        <v>8</v>
      </c>
      <c r="AM59" s="43" t="s">
        <v>8</v>
      </c>
      <c r="AN59" s="43" t="s">
        <v>113</v>
      </c>
      <c r="AO59" s="43" t="s">
        <v>113</v>
      </c>
      <c r="AP59" s="43" t="s">
        <v>97</v>
      </c>
      <c r="AQ59" s="43" t="s">
        <v>97</v>
      </c>
      <c r="AR59" s="12" t="s">
        <v>98</v>
      </c>
      <c r="AS59" s="12" t="s">
        <v>98</v>
      </c>
      <c r="AT59" s="12" t="s">
        <v>5</v>
      </c>
      <c r="AU59" s="12" t="s">
        <v>195</v>
      </c>
      <c r="AV59" s="419" t="s">
        <v>196</v>
      </c>
      <c r="AW59" s="419" t="s">
        <v>197</v>
      </c>
      <c r="AX59" s="419" t="s">
        <v>198</v>
      </c>
      <c r="AY59" s="419" t="s">
        <v>199</v>
      </c>
      <c r="AZ59" s="420" t="s">
        <v>14</v>
      </c>
      <c r="BA59" s="421" t="s">
        <v>36</v>
      </c>
      <c r="BB59" s="39" t="s">
        <v>50</v>
      </c>
      <c r="BC59" s="42" t="s">
        <v>7</v>
      </c>
      <c r="BD59" s="14" t="s">
        <v>7</v>
      </c>
      <c r="BE59" s="15" t="s">
        <v>8</v>
      </c>
      <c r="BF59" s="15" t="s">
        <v>8</v>
      </c>
      <c r="BG59" s="42" t="s">
        <v>34</v>
      </c>
      <c r="BH59" s="41" t="s">
        <v>14</v>
      </c>
      <c r="BI59" s="41" t="s">
        <v>51</v>
      </c>
      <c r="BJ59" s="15" t="s">
        <v>9</v>
      </c>
      <c r="BK59" s="15" t="s">
        <v>10</v>
      </c>
      <c r="BL59" s="17" t="s">
        <v>29</v>
      </c>
      <c r="BM59" s="42" t="s">
        <v>41</v>
      </c>
      <c r="BN59" s="41" t="s">
        <v>42</v>
      </c>
      <c r="BO59" s="57" t="s">
        <v>99</v>
      </c>
      <c r="BP59" s="55" t="s">
        <v>7</v>
      </c>
      <c r="BQ59" s="56" t="s">
        <v>8</v>
      </c>
    </row>
    <row r="60" spans="2:69" ht="11.25">
      <c r="B60" s="93"/>
      <c r="C60" s="498"/>
      <c r="D60" s="54"/>
      <c r="E60" s="76"/>
      <c r="F60" s="44"/>
      <c r="G60" s="64"/>
      <c r="H60" s="64"/>
      <c r="I60" s="65"/>
      <c r="J60" s="64"/>
      <c r="K60" s="64"/>
      <c r="L60" s="64"/>
      <c r="M60" s="247"/>
      <c r="N60" s="244"/>
      <c r="O60" s="64"/>
      <c r="P60" s="69"/>
      <c r="Q60" s="14" t="s">
        <v>1</v>
      </c>
      <c r="R60" s="71"/>
      <c r="S60" s="72" t="s">
        <v>62</v>
      </c>
      <c r="T60" s="72" t="s">
        <v>63</v>
      </c>
      <c r="U60" s="12" t="s">
        <v>26</v>
      </c>
      <c r="V60" s="11"/>
      <c r="W60" s="11"/>
      <c r="Y60" s="16"/>
      <c r="Z60" s="41" t="s">
        <v>51</v>
      </c>
      <c r="AA60" s="160" t="s">
        <v>74</v>
      </c>
      <c r="AB60" s="41" t="s">
        <v>52</v>
      </c>
      <c r="AC60" s="14" t="s">
        <v>18</v>
      </c>
      <c r="AD60" s="15" t="s">
        <v>30</v>
      </c>
      <c r="AE60" s="15" t="s">
        <v>70</v>
      </c>
      <c r="AF60" s="15" t="s">
        <v>34</v>
      </c>
      <c r="AG60" s="15" t="s">
        <v>61</v>
      </c>
      <c r="AH60" s="98" t="s">
        <v>87</v>
      </c>
      <c r="AI60" s="15" t="s">
        <v>62</v>
      </c>
      <c r="AJ60" s="42" t="s">
        <v>7</v>
      </c>
      <c r="AK60" s="10"/>
      <c r="AL60" s="98" t="s">
        <v>67</v>
      </c>
      <c r="AM60" s="43" t="s">
        <v>81</v>
      </c>
      <c r="AN60" s="43" t="s">
        <v>200</v>
      </c>
      <c r="AO60" s="43" t="s">
        <v>200</v>
      </c>
      <c r="AP60" s="43" t="s">
        <v>15</v>
      </c>
      <c r="AQ60" s="43" t="s">
        <v>15</v>
      </c>
      <c r="AR60" s="12"/>
      <c r="AS60" s="12"/>
      <c r="AT60" s="12"/>
      <c r="AU60" s="12"/>
      <c r="AV60" s="419"/>
      <c r="AW60" s="419"/>
      <c r="AX60" s="419"/>
      <c r="AY60" s="419"/>
      <c r="AZ60" s="76"/>
      <c r="BA60" s="422"/>
      <c r="BB60" s="44" t="s">
        <v>37</v>
      </c>
      <c r="BC60" s="42" t="s">
        <v>85</v>
      </c>
      <c r="BD60" s="13"/>
      <c r="BE60" s="11"/>
      <c r="BF60" s="11"/>
      <c r="BG60" s="42" t="s">
        <v>33</v>
      </c>
      <c r="BH60" s="17" t="s">
        <v>85</v>
      </c>
      <c r="BI60" s="40" t="s">
        <v>34</v>
      </c>
      <c r="BJ60" s="10"/>
      <c r="BK60" s="13"/>
      <c r="BL60" s="17" t="s">
        <v>46</v>
      </c>
      <c r="BM60" s="42" t="s">
        <v>13</v>
      </c>
      <c r="BN60" s="41"/>
      <c r="BO60" s="54"/>
      <c r="BP60" s="58" t="s">
        <v>39</v>
      </c>
      <c r="BQ60" s="44" t="s">
        <v>39</v>
      </c>
    </row>
    <row r="61" spans="2:69" ht="11.25">
      <c r="B61" s="93"/>
      <c r="C61" s="498"/>
      <c r="D61" s="54"/>
      <c r="E61" s="76"/>
      <c r="F61" s="44"/>
      <c r="G61" s="73" t="s">
        <v>59</v>
      </c>
      <c r="H61" s="10" t="s">
        <v>56</v>
      </c>
      <c r="I61" s="269" t="s">
        <v>88</v>
      </c>
      <c r="J61" s="15" t="s">
        <v>47</v>
      </c>
      <c r="K61" s="15" t="s">
        <v>0</v>
      </c>
      <c r="L61" s="15" t="s">
        <v>2</v>
      </c>
      <c r="M61" s="43" t="s">
        <v>90</v>
      </c>
      <c r="N61" s="245" t="s">
        <v>91</v>
      </c>
      <c r="O61" s="15" t="s">
        <v>95</v>
      </c>
      <c r="P61" s="15" t="s">
        <v>3</v>
      </c>
      <c r="Q61" s="14" t="s">
        <v>19</v>
      </c>
      <c r="R61" s="15" t="s">
        <v>4</v>
      </c>
      <c r="S61" s="15" t="s">
        <v>19</v>
      </c>
      <c r="T61" s="15" t="s">
        <v>56</v>
      </c>
      <c r="U61" s="12" t="s">
        <v>16</v>
      </c>
      <c r="V61" s="15" t="s">
        <v>21</v>
      </c>
      <c r="W61" s="15" t="s">
        <v>48</v>
      </c>
      <c r="X61" s="14" t="s">
        <v>6</v>
      </c>
      <c r="Y61" s="17" t="s">
        <v>5</v>
      </c>
      <c r="Z61" s="41" t="s">
        <v>53</v>
      </c>
      <c r="AA61" s="161"/>
      <c r="AB61" s="41"/>
      <c r="AC61" s="14" t="s">
        <v>32</v>
      </c>
      <c r="AD61" s="15" t="s">
        <v>31</v>
      </c>
      <c r="AE61" s="15" t="s">
        <v>71</v>
      </c>
      <c r="AF61" s="15" t="s">
        <v>72</v>
      </c>
      <c r="AG61" s="15"/>
      <c r="AH61" s="98" t="s">
        <v>86</v>
      </c>
      <c r="AI61" s="15"/>
      <c r="AJ61" s="15" t="s">
        <v>111</v>
      </c>
      <c r="AK61" s="11"/>
      <c r="AL61" s="98" t="s">
        <v>27</v>
      </c>
      <c r="AM61" s="43" t="s">
        <v>201</v>
      </c>
      <c r="AN61" s="43" t="s">
        <v>111</v>
      </c>
      <c r="AO61" s="43" t="s">
        <v>202</v>
      </c>
      <c r="AP61" s="15" t="s">
        <v>83</v>
      </c>
      <c r="AQ61" s="15" t="s">
        <v>114</v>
      </c>
      <c r="AR61" s="42" t="s">
        <v>83</v>
      </c>
      <c r="AS61" s="42" t="s">
        <v>114</v>
      </c>
      <c r="AT61" s="42"/>
      <c r="AU61" s="42"/>
      <c r="AV61" s="76"/>
      <c r="AW61" s="76"/>
      <c r="AX61" s="76"/>
      <c r="AY61" s="76"/>
      <c r="AZ61" s="76"/>
      <c r="BA61" s="422"/>
      <c r="BB61" s="41" t="s">
        <v>54</v>
      </c>
      <c r="BC61" s="134"/>
      <c r="BD61" s="11"/>
      <c r="BE61" s="11"/>
      <c r="BF61" s="11"/>
      <c r="BG61" s="11"/>
      <c r="BH61" s="16"/>
      <c r="BI61" s="40" t="s">
        <v>84</v>
      </c>
      <c r="BJ61" s="10"/>
      <c r="BK61" s="11"/>
      <c r="BL61" s="54"/>
      <c r="BM61" s="10"/>
      <c r="BN61" s="16"/>
      <c r="BO61" s="93"/>
      <c r="BP61" s="93"/>
      <c r="BQ61" s="93"/>
    </row>
    <row r="62" spans="2:69" ht="12" thickBot="1">
      <c r="B62" s="381"/>
      <c r="C62" s="499" t="s">
        <v>246</v>
      </c>
      <c r="D62" s="54"/>
      <c r="E62" s="77"/>
      <c r="F62" s="62"/>
      <c r="G62" s="18" t="s">
        <v>60</v>
      </c>
      <c r="H62" s="18" t="s">
        <v>11</v>
      </c>
      <c r="I62" s="270"/>
      <c r="J62" s="1" t="s">
        <v>43</v>
      </c>
      <c r="K62" s="1" t="s">
        <v>40</v>
      </c>
      <c r="L62" s="1" t="s">
        <v>40</v>
      </c>
      <c r="M62" s="48"/>
      <c r="N62" s="246"/>
      <c r="O62" s="1"/>
      <c r="P62" s="1" t="s">
        <v>44</v>
      </c>
      <c r="Q62" s="20" t="s">
        <v>40</v>
      </c>
      <c r="R62" s="1" t="s">
        <v>44</v>
      </c>
      <c r="S62" s="1" t="s">
        <v>40</v>
      </c>
      <c r="T62" s="1" t="s">
        <v>57</v>
      </c>
      <c r="U62" s="19" t="s">
        <v>40</v>
      </c>
      <c r="V62" s="1" t="s">
        <v>12</v>
      </c>
      <c r="W62" s="1" t="s">
        <v>40</v>
      </c>
      <c r="X62" s="20" t="s">
        <v>35</v>
      </c>
      <c r="Y62" s="21" t="s">
        <v>40</v>
      </c>
      <c r="Z62" s="41" t="s">
        <v>45</v>
      </c>
      <c r="AA62" s="161"/>
      <c r="AB62" s="17" t="s">
        <v>35</v>
      </c>
      <c r="AC62" s="14" t="s">
        <v>24</v>
      </c>
      <c r="AD62" s="15" t="s">
        <v>22</v>
      </c>
      <c r="AE62" s="15" t="s">
        <v>28</v>
      </c>
      <c r="AF62" s="15" t="s">
        <v>28</v>
      </c>
      <c r="AG62" s="42" t="s">
        <v>28</v>
      </c>
      <c r="AH62" s="42" t="s">
        <v>11</v>
      </c>
      <c r="AI62" s="15" t="s">
        <v>11</v>
      </c>
      <c r="AJ62" s="42" t="s">
        <v>112</v>
      </c>
      <c r="AK62" s="45" t="s">
        <v>28</v>
      </c>
      <c r="AL62" s="11"/>
      <c r="AM62" s="43" t="s">
        <v>11</v>
      </c>
      <c r="AN62" s="43" t="s">
        <v>112</v>
      </c>
      <c r="AO62" s="43" t="s">
        <v>112</v>
      </c>
      <c r="AP62" s="215" t="s">
        <v>11</v>
      </c>
      <c r="AQ62" s="354" t="s">
        <v>112</v>
      </c>
      <c r="AR62" s="309" t="s">
        <v>11</v>
      </c>
      <c r="AS62" s="309" t="s">
        <v>11</v>
      </c>
      <c r="AT62" s="309" t="s">
        <v>12</v>
      </c>
      <c r="AU62" s="309" t="s">
        <v>12</v>
      </c>
      <c r="AV62" s="305" t="s">
        <v>45</v>
      </c>
      <c r="AW62" s="305" t="s">
        <v>45</v>
      </c>
      <c r="AX62" s="305" t="s">
        <v>45</v>
      </c>
      <c r="AY62" s="305" t="s">
        <v>45</v>
      </c>
      <c r="AZ62" s="305" t="s">
        <v>45</v>
      </c>
      <c r="BA62" s="422" t="s">
        <v>35</v>
      </c>
      <c r="BB62" s="57" t="s">
        <v>23</v>
      </c>
      <c r="BC62" s="135" t="s">
        <v>11</v>
      </c>
      <c r="BD62" s="59" t="s">
        <v>20</v>
      </c>
      <c r="BE62" s="60" t="s">
        <v>11</v>
      </c>
      <c r="BF62" s="60" t="s">
        <v>20</v>
      </c>
      <c r="BG62" s="47" t="s">
        <v>38</v>
      </c>
      <c r="BH62" s="46" t="s">
        <v>45</v>
      </c>
      <c r="BI62" s="46" t="s">
        <v>45</v>
      </c>
      <c r="BJ62" s="1" t="s">
        <v>40</v>
      </c>
      <c r="BK62" s="1" t="s">
        <v>40</v>
      </c>
      <c r="BL62" s="49" t="s">
        <v>38</v>
      </c>
      <c r="BM62" s="2" t="s">
        <v>40</v>
      </c>
      <c r="BN62" s="46" t="s">
        <v>40</v>
      </c>
      <c r="BO62" s="136" t="s">
        <v>40</v>
      </c>
      <c r="BP62" s="61" t="s">
        <v>23</v>
      </c>
      <c r="BQ62" s="61" t="s">
        <v>23</v>
      </c>
    </row>
    <row r="63" spans="2:69" ht="11.25">
      <c r="B63" s="118">
        <v>1</v>
      </c>
      <c r="C63" s="503">
        <f aca="true" t="shared" si="28" ref="C63:C68">B63*V63*$H63/1000</f>
        <v>0.945</v>
      </c>
      <c r="D63" s="54"/>
      <c r="E63" s="123" t="s">
        <v>136</v>
      </c>
      <c r="F63" s="78" t="s">
        <v>186</v>
      </c>
      <c r="G63" s="222" t="s">
        <v>203</v>
      </c>
      <c r="H63" s="222">
        <v>35</v>
      </c>
      <c r="I63" s="272"/>
      <c r="J63" s="29">
        <v>10.3</v>
      </c>
      <c r="K63" s="29">
        <v>17.7</v>
      </c>
      <c r="L63" s="32">
        <v>0.3</v>
      </c>
      <c r="M63" s="248"/>
      <c r="N63" s="154"/>
      <c r="O63" s="208" t="str">
        <f aca="true" t="shared" si="29" ref="O63:O68">IF(M63&lt;1.1*((N63*29000)/P63)^0.5,1,"NO")</f>
        <v>NO</v>
      </c>
      <c r="P63" s="4">
        <v>50</v>
      </c>
      <c r="Q63" s="6">
        <v>1.5</v>
      </c>
      <c r="R63" s="4">
        <v>4</v>
      </c>
      <c r="S63" s="140">
        <v>4</v>
      </c>
      <c r="T63" s="4">
        <v>115</v>
      </c>
      <c r="U63" s="24">
        <v>285</v>
      </c>
      <c r="V63" s="22">
        <v>27</v>
      </c>
      <c r="W63" s="23">
        <f aca="true" t="shared" si="30" ref="W63:W68">MIN((V63/4)*12,U63)</f>
        <v>81</v>
      </c>
      <c r="X63" s="27">
        <f aca="true" t="shared" si="31" ref="X63:X68">J63*P63</f>
        <v>515</v>
      </c>
      <c r="Y63" s="28">
        <f aca="true" t="shared" si="32" ref="Y63:Y68">(J63*P63)/(0.85*R63*W63)</f>
        <v>1.870007262164125</v>
      </c>
      <c r="Z63" s="102">
        <f aca="true" t="shared" si="33" ref="Z63:Z68">(0.9*((J63*P63*(K63/2))+(0.85*R63*Y63*W63*(S63-(Y63/2)))))/12</f>
        <v>460.2167347494553</v>
      </c>
      <c r="AA63" s="162">
        <f aca="true" t="shared" si="34" ref="AA63:AA68">IF(I63="v",0.9,1)</f>
        <v>1</v>
      </c>
      <c r="AB63" s="209">
        <f aca="true" t="shared" si="35" ref="AB63:AB68">IF(O63="NO",AA63*0.6*P63*K63*L63,AA63*0.6*P63*K63*L63*O63)</f>
        <v>159.29999999999998</v>
      </c>
      <c r="AC63" s="6">
        <v>17.2</v>
      </c>
      <c r="AD63" s="143">
        <f aca="true" t="shared" si="36" ref="AD63:AD68">(X63/AC63)*2</f>
        <v>59.88372093023256</v>
      </c>
      <c r="AE63" s="4">
        <v>30</v>
      </c>
      <c r="AF63" s="4">
        <v>1.6</v>
      </c>
      <c r="AG63" s="141">
        <v>29</v>
      </c>
      <c r="AH63" s="141">
        <v>0</v>
      </c>
      <c r="AI63" s="144">
        <f aca="true" t="shared" si="37" ref="AI63:AI68">((AE63+AG63+AF63)*(U63/12))+H63+AH63</f>
        <v>1474.25</v>
      </c>
      <c r="AJ63" s="262">
        <v>9947</v>
      </c>
      <c r="AK63" s="24">
        <v>80</v>
      </c>
      <c r="AL63" s="23">
        <f aca="true" t="shared" si="38" ref="AL63:AL68">IF(0.25+(15/($F$8*V63*(U63/12))^0.5)&gt;0.5,IF(0.25+(15/($F$8*V63*(U63/12))^0.5)&gt;1,1,0.25+(15/($F$8*V63*(U63/12))^0.5)),0.5)</f>
        <v>0.6688539082916956</v>
      </c>
      <c r="AM63" s="143">
        <f aca="true" t="shared" si="39" ref="AM63:AM68">(AK63*AL63)*(U63/12)</f>
        <v>1270.8224257542215</v>
      </c>
      <c r="AN63" s="190">
        <v>3438</v>
      </c>
      <c r="AO63" s="290">
        <f aca="true" t="shared" si="40" ref="AO63:AO68">AN63*AL63</f>
        <v>2299.5197367068495</v>
      </c>
      <c r="AP63" s="143">
        <f aca="true" t="shared" si="41" ref="AP63:AP68">(1.2*AI63)+(1.6*AM63)</f>
        <v>3802.4158812067544</v>
      </c>
      <c r="AQ63" s="85">
        <f aca="true" t="shared" si="42" ref="AQ63:AQ68">(1.2*AJ63)+(1.6*AO63)</f>
        <v>15615.63157873096</v>
      </c>
      <c r="AR63" s="252">
        <f aca="true" t="shared" si="43" ref="AR63:AS68">1.4*AI63</f>
        <v>2063.95</v>
      </c>
      <c r="AS63" s="85">
        <f t="shared" si="43"/>
        <v>13925.8</v>
      </c>
      <c r="AT63" s="423">
        <v>2</v>
      </c>
      <c r="AU63" s="423">
        <v>25</v>
      </c>
      <c r="AV63" s="290">
        <f aca="true" t="shared" si="44" ref="AV63:AV68">AQ63*AT63*AU63/V63/1000</f>
        <v>28.917836256909183</v>
      </c>
      <c r="AW63" s="290">
        <f aca="true" t="shared" si="45" ref="AW63:AW68">((V63/2)/AU63)*AV63</f>
        <v>15.61563157873096</v>
      </c>
      <c r="AX63" s="290">
        <f aca="true" t="shared" si="46" ref="AX63:AX68">AP63*AT63*(V63-AT63)/2000</f>
        <v>95.06039703016886</v>
      </c>
      <c r="AY63" s="290">
        <f aca="true" t="shared" si="47" ref="AY63:AY68">MAX((AR63*V63*V63)/8000,(AP63*V63*V63)/8000)</f>
        <v>346.49514717496555</v>
      </c>
      <c r="AZ63" s="23">
        <f aca="true" t="shared" si="48" ref="AZ63:AZ68">MAX(AV63+AX63,AW63+AY63)</f>
        <v>362.11077875369654</v>
      </c>
      <c r="BA63" s="51">
        <f aca="true" t="shared" si="49" ref="BA63:BA68">(AQ63*AU63/V63/1000)+(AP63*V63/2000)</f>
        <v>65.79153252474578</v>
      </c>
      <c r="BB63" s="90" t="str">
        <f aca="true" t="shared" si="50" ref="BB63:BB68">IF(AND(Z63&gt;AZ63,AB63&gt;BA63),"OK","NG")</f>
        <v>OK</v>
      </c>
      <c r="BC63" s="103">
        <f aca="true" t="shared" si="51" ref="BC63:BC68">((AF63+AG63)*(U63/12))+H63</f>
        <v>761.75</v>
      </c>
      <c r="BD63" s="145">
        <f aca="true" t="shared" si="52" ref="BD63:BD68">BC63/12</f>
        <v>63.479166666666664</v>
      </c>
      <c r="BE63" s="143">
        <f aca="true" t="shared" si="53" ref="BE63:BE68">AK63*(U63/12)</f>
        <v>1900</v>
      </c>
      <c r="BF63" s="143">
        <f aca="true" t="shared" si="54" ref="BF63:BF68">BE63/12</f>
        <v>158.33333333333334</v>
      </c>
      <c r="BG63" s="31">
        <v>510</v>
      </c>
      <c r="BH63" s="68">
        <f aca="true" t="shared" si="55" ref="BH63:BH68">((BC63*V63*V63)/8000)+(AJ63*AT63*AU63/V63/1000)</f>
        <v>87.83483912037036</v>
      </c>
      <c r="BI63" s="118"/>
      <c r="BJ63" s="126">
        <v>0</v>
      </c>
      <c r="BK63" s="237">
        <f aca="true" t="shared" si="56" ref="BK63:BK68">S63-Y63/2</f>
        <v>3.0649963689179374</v>
      </c>
      <c r="BL63" s="67">
        <v>1230</v>
      </c>
      <c r="BM63" s="162">
        <f aca="true" t="shared" si="57" ref="BM63:BM68">(5*(BD63)*((V63*12)^4))/(384*29000000*BG63)+((AJ63*(AT63*12)*((V63*12)/2)*((V63*12)^2-(AT63*12)^2-((V63*12)/2)^2))/(6*29000000*BG63*(V63*12)))</f>
        <v>0.7209872923174443</v>
      </c>
      <c r="BN63" s="68">
        <f aca="true" t="shared" si="58" ref="BN63:BN68">(5*(BF63)*((V63*12)^4))/(384*29000000*BL63)+((AN63*(AT63*12)*((V63*12)/2)*((V63*12)^2-(AT63*12)^2-((V63*12)/2)^2))/(6*29000000*BL63*(V63*12)))</f>
        <v>0.6519905636669471</v>
      </c>
      <c r="BO63" s="102">
        <f aca="true" t="shared" si="59" ref="BO63:BO68">(V63/360)*12</f>
        <v>0.8999999999999999</v>
      </c>
      <c r="BP63" s="90" t="str">
        <f aca="true" t="shared" si="60" ref="BP63:BP68">IF(BM63&gt;BO63,"NG","OK")</f>
        <v>OK</v>
      </c>
      <c r="BQ63" s="90" t="str">
        <f aca="true" t="shared" si="61" ref="BQ63:BQ68">IF(BN63&gt;BO63,"NG","OK")</f>
        <v>OK</v>
      </c>
    </row>
    <row r="64" spans="2:69" ht="12" thickBot="1">
      <c r="B64" s="165">
        <v>1</v>
      </c>
      <c r="C64" s="504">
        <f t="shared" si="28"/>
        <v>0.945</v>
      </c>
      <c r="D64" s="54"/>
      <c r="E64" s="224" t="s">
        <v>137</v>
      </c>
      <c r="F64" s="44" t="s">
        <v>171</v>
      </c>
      <c r="G64" s="223" t="s">
        <v>203</v>
      </c>
      <c r="H64" s="223">
        <v>35</v>
      </c>
      <c r="I64" s="428"/>
      <c r="J64" s="207">
        <v>10.3</v>
      </c>
      <c r="K64" s="207">
        <v>17.7</v>
      </c>
      <c r="L64" s="225">
        <v>0.3</v>
      </c>
      <c r="M64" s="470"/>
      <c r="N64" s="471"/>
      <c r="O64" s="358" t="str">
        <f t="shared" si="29"/>
        <v>NO</v>
      </c>
      <c r="P64" s="71">
        <v>50</v>
      </c>
      <c r="Q64" s="359">
        <v>1.5</v>
      </c>
      <c r="R64" s="71">
        <v>4</v>
      </c>
      <c r="S64" s="207">
        <v>4</v>
      </c>
      <c r="T64" s="71">
        <v>115</v>
      </c>
      <c r="U64" s="360">
        <v>285</v>
      </c>
      <c r="V64" s="207">
        <v>27</v>
      </c>
      <c r="W64" s="472">
        <f t="shared" si="30"/>
        <v>81</v>
      </c>
      <c r="X64" s="473">
        <f t="shared" si="31"/>
        <v>515</v>
      </c>
      <c r="Y64" s="474">
        <f t="shared" si="32"/>
        <v>1.870007262164125</v>
      </c>
      <c r="Z64" s="475">
        <f t="shared" si="33"/>
        <v>460.2167347494553</v>
      </c>
      <c r="AA64" s="476">
        <f t="shared" si="34"/>
        <v>1</v>
      </c>
      <c r="AB64" s="477">
        <f t="shared" si="35"/>
        <v>159.29999999999998</v>
      </c>
      <c r="AC64" s="73">
        <v>17.2</v>
      </c>
      <c r="AD64" s="478">
        <f t="shared" si="36"/>
        <v>59.88372093023256</v>
      </c>
      <c r="AE64" s="71">
        <v>30</v>
      </c>
      <c r="AF64" s="71">
        <v>1.6</v>
      </c>
      <c r="AG64" s="470">
        <v>29</v>
      </c>
      <c r="AH64" s="470">
        <v>0</v>
      </c>
      <c r="AI64" s="479">
        <f t="shared" si="37"/>
        <v>1474.25</v>
      </c>
      <c r="AJ64" s="480">
        <v>9947</v>
      </c>
      <c r="AK64" s="360">
        <v>80</v>
      </c>
      <c r="AL64" s="124">
        <f t="shared" si="38"/>
        <v>0.6688539082916956</v>
      </c>
      <c r="AM64" s="478">
        <f t="shared" si="39"/>
        <v>1270.8224257542215</v>
      </c>
      <c r="AN64" s="481">
        <v>3438</v>
      </c>
      <c r="AO64" s="252">
        <f t="shared" si="40"/>
        <v>2299.5197367068495</v>
      </c>
      <c r="AP64" s="478">
        <f t="shared" si="41"/>
        <v>3802.4158812067544</v>
      </c>
      <c r="AQ64" s="478">
        <f t="shared" si="42"/>
        <v>15615.63157873096</v>
      </c>
      <c r="AR64" s="478">
        <f t="shared" si="43"/>
        <v>2063.95</v>
      </c>
      <c r="AS64" s="478">
        <f t="shared" si="43"/>
        <v>13925.8</v>
      </c>
      <c r="AT64" s="400">
        <v>2</v>
      </c>
      <c r="AU64" s="400">
        <v>25</v>
      </c>
      <c r="AV64" s="252">
        <f t="shared" si="44"/>
        <v>28.917836256909183</v>
      </c>
      <c r="AW64" s="252">
        <f t="shared" si="45"/>
        <v>15.61563157873096</v>
      </c>
      <c r="AX64" s="252">
        <f t="shared" si="46"/>
        <v>95.06039703016886</v>
      </c>
      <c r="AY64" s="252">
        <f t="shared" si="47"/>
        <v>346.49514717496555</v>
      </c>
      <c r="AZ64" s="124">
        <f t="shared" si="48"/>
        <v>362.11077875369654</v>
      </c>
      <c r="BA64" s="251">
        <f t="shared" si="49"/>
        <v>65.79153252474578</v>
      </c>
      <c r="BB64" s="482" t="str">
        <f t="shared" si="50"/>
        <v>OK</v>
      </c>
      <c r="BC64" s="365">
        <f t="shared" si="51"/>
        <v>761.75</v>
      </c>
      <c r="BD64" s="478">
        <f t="shared" si="52"/>
        <v>63.479166666666664</v>
      </c>
      <c r="BE64" s="478">
        <f t="shared" si="53"/>
        <v>1900</v>
      </c>
      <c r="BF64" s="478">
        <f t="shared" si="54"/>
        <v>158.33333333333334</v>
      </c>
      <c r="BG64" s="182">
        <v>510</v>
      </c>
      <c r="BH64" s="367">
        <f t="shared" si="55"/>
        <v>87.83483912037036</v>
      </c>
      <c r="BI64" s="483"/>
      <c r="BJ64" s="484">
        <v>0</v>
      </c>
      <c r="BK64" s="485">
        <f t="shared" si="56"/>
        <v>3.0649963689179374</v>
      </c>
      <c r="BL64" s="486">
        <v>1230</v>
      </c>
      <c r="BM64" s="476">
        <f t="shared" si="57"/>
        <v>0.7209872923174443</v>
      </c>
      <c r="BN64" s="367">
        <f t="shared" si="58"/>
        <v>0.6519905636669471</v>
      </c>
      <c r="BO64" s="475">
        <f t="shared" si="59"/>
        <v>0.8999999999999999</v>
      </c>
      <c r="BP64" s="369" t="str">
        <f t="shared" si="60"/>
        <v>OK</v>
      </c>
      <c r="BQ64" s="369" t="str">
        <f t="shared" si="61"/>
        <v>OK</v>
      </c>
    </row>
    <row r="65" spans="2:69" ht="11.25">
      <c r="B65" s="254">
        <v>1</v>
      </c>
      <c r="C65" s="507">
        <f t="shared" si="28"/>
        <v>0.312</v>
      </c>
      <c r="D65" s="54"/>
      <c r="E65" s="123" t="s">
        <v>204</v>
      </c>
      <c r="F65" s="401" t="s">
        <v>184</v>
      </c>
      <c r="G65" s="139" t="s">
        <v>110</v>
      </c>
      <c r="H65" s="139">
        <v>16</v>
      </c>
      <c r="I65" s="271"/>
      <c r="J65" s="22">
        <v>4.71</v>
      </c>
      <c r="K65" s="22">
        <v>12</v>
      </c>
      <c r="L65" s="25">
        <v>0.22</v>
      </c>
      <c r="M65" s="248"/>
      <c r="N65" s="154"/>
      <c r="O65" s="372" t="str">
        <f t="shared" si="29"/>
        <v>NO</v>
      </c>
      <c r="P65" s="288">
        <v>50</v>
      </c>
      <c r="Q65" s="26">
        <v>1.5</v>
      </c>
      <c r="R65" s="288">
        <v>4</v>
      </c>
      <c r="S65" s="22">
        <v>4</v>
      </c>
      <c r="T65" s="288">
        <v>115</v>
      </c>
      <c r="U65" s="248">
        <v>78.75</v>
      </c>
      <c r="V65" s="22">
        <v>19.5</v>
      </c>
      <c r="W65" s="23">
        <f t="shared" si="30"/>
        <v>58.5</v>
      </c>
      <c r="X65" s="27">
        <f t="shared" si="31"/>
        <v>235.5</v>
      </c>
      <c r="Y65" s="28">
        <f t="shared" si="32"/>
        <v>1.1840120663650076</v>
      </c>
      <c r="Z65" s="102">
        <f t="shared" si="33"/>
        <v>166.16869343891403</v>
      </c>
      <c r="AA65" s="162">
        <f t="shared" si="34"/>
        <v>1</v>
      </c>
      <c r="AB65" s="51">
        <f t="shared" si="35"/>
        <v>79.2</v>
      </c>
      <c r="AC65" s="163">
        <v>17.2</v>
      </c>
      <c r="AD65" s="290">
        <f t="shared" si="36"/>
        <v>27.38372093023256</v>
      </c>
      <c r="AE65" s="288">
        <v>30</v>
      </c>
      <c r="AF65" s="288">
        <v>1.6</v>
      </c>
      <c r="AG65" s="248">
        <v>29</v>
      </c>
      <c r="AH65" s="248">
        <v>0</v>
      </c>
      <c r="AI65" s="356">
        <f t="shared" si="37"/>
        <v>413.6875</v>
      </c>
      <c r="AJ65" s="388">
        <v>13404</v>
      </c>
      <c r="AK65" s="248">
        <v>80</v>
      </c>
      <c r="AL65" s="23">
        <f t="shared" si="38"/>
        <v>1</v>
      </c>
      <c r="AM65" s="290">
        <f t="shared" si="39"/>
        <v>525</v>
      </c>
      <c r="AN65" s="423">
        <v>2188</v>
      </c>
      <c r="AO65" s="290">
        <f t="shared" si="40"/>
        <v>2188</v>
      </c>
      <c r="AP65" s="290">
        <f t="shared" si="41"/>
        <v>1336.425</v>
      </c>
      <c r="AQ65" s="290">
        <f t="shared" si="42"/>
        <v>19585.6</v>
      </c>
      <c r="AR65" s="290">
        <f t="shared" si="43"/>
        <v>579.1624999999999</v>
      </c>
      <c r="AS65" s="290">
        <f t="shared" si="43"/>
        <v>18765.6</v>
      </c>
      <c r="AT65" s="423">
        <v>2</v>
      </c>
      <c r="AU65" s="423">
        <v>17.5</v>
      </c>
      <c r="AV65" s="290">
        <f t="shared" si="44"/>
        <v>35.15364102564102</v>
      </c>
      <c r="AW65" s="290">
        <f t="shared" si="45"/>
        <v>19.5856</v>
      </c>
      <c r="AX65" s="290">
        <f t="shared" si="46"/>
        <v>23.3874375</v>
      </c>
      <c r="AY65" s="290">
        <f t="shared" si="47"/>
        <v>63.52195078124999</v>
      </c>
      <c r="AZ65" s="23">
        <f t="shared" si="48"/>
        <v>83.10755078124998</v>
      </c>
      <c r="BA65" s="51">
        <f t="shared" si="49"/>
        <v>30.60696426282051</v>
      </c>
      <c r="BB65" s="90" t="str">
        <f t="shared" si="50"/>
        <v>OK</v>
      </c>
      <c r="BC65" s="103">
        <f t="shared" si="51"/>
        <v>216.8125</v>
      </c>
      <c r="BD65" s="290">
        <f t="shared" si="52"/>
        <v>18.067708333333332</v>
      </c>
      <c r="BE65" s="290">
        <f t="shared" si="53"/>
        <v>525</v>
      </c>
      <c r="BF65" s="290">
        <f t="shared" si="54"/>
        <v>43.75</v>
      </c>
      <c r="BG65" s="248">
        <v>103</v>
      </c>
      <c r="BH65" s="68">
        <f t="shared" si="55"/>
        <v>34.36383067908654</v>
      </c>
      <c r="BI65" s="159"/>
      <c r="BJ65" s="126">
        <v>0</v>
      </c>
      <c r="BK65" s="291">
        <f t="shared" si="56"/>
        <v>3.407993966817496</v>
      </c>
      <c r="BL65" s="456">
        <v>312</v>
      </c>
      <c r="BM65" s="162">
        <f t="shared" si="57"/>
        <v>0.5995425908369862</v>
      </c>
      <c r="BN65" s="68">
        <f t="shared" si="58"/>
        <v>0.20835087635734417</v>
      </c>
      <c r="BO65" s="102">
        <f t="shared" si="59"/>
        <v>0.65</v>
      </c>
      <c r="BP65" s="90" t="str">
        <f t="shared" si="60"/>
        <v>OK</v>
      </c>
      <c r="BQ65" s="90" t="str">
        <f t="shared" si="61"/>
        <v>OK</v>
      </c>
    </row>
    <row r="66" spans="2:69" ht="12" thickBot="1">
      <c r="B66" s="165">
        <v>1</v>
      </c>
      <c r="C66" s="507">
        <f t="shared" si="28"/>
        <v>0.312</v>
      </c>
      <c r="D66" s="54"/>
      <c r="E66" s="115" t="s">
        <v>205</v>
      </c>
      <c r="F66" s="405" t="s">
        <v>161</v>
      </c>
      <c r="G66" s="218" t="s">
        <v>110</v>
      </c>
      <c r="H66" s="218">
        <v>16</v>
      </c>
      <c r="I66" s="273"/>
      <c r="J66" s="100">
        <v>4.71</v>
      </c>
      <c r="K66" s="100">
        <v>12</v>
      </c>
      <c r="L66" s="116">
        <v>0.22</v>
      </c>
      <c r="M66" s="183"/>
      <c r="N66" s="156"/>
      <c r="O66" s="373" t="str">
        <f t="shared" si="29"/>
        <v>NO</v>
      </c>
      <c r="P66" s="286">
        <v>50</v>
      </c>
      <c r="Q66" s="36">
        <v>1.5</v>
      </c>
      <c r="R66" s="286">
        <v>4</v>
      </c>
      <c r="S66" s="306">
        <v>4</v>
      </c>
      <c r="T66" s="286">
        <v>115</v>
      </c>
      <c r="U66" s="35">
        <v>78.75</v>
      </c>
      <c r="V66" s="100">
        <v>19.5</v>
      </c>
      <c r="W66" s="148">
        <f t="shared" si="30"/>
        <v>58.5</v>
      </c>
      <c r="X66" s="149">
        <f t="shared" si="31"/>
        <v>235.5</v>
      </c>
      <c r="Y66" s="150">
        <f t="shared" si="32"/>
        <v>1.1840120663650076</v>
      </c>
      <c r="Z66" s="384">
        <f t="shared" si="33"/>
        <v>166.16869343891403</v>
      </c>
      <c r="AA66" s="375">
        <f t="shared" si="34"/>
        <v>1</v>
      </c>
      <c r="AB66" s="308">
        <f t="shared" si="35"/>
        <v>79.2</v>
      </c>
      <c r="AC66" s="36">
        <v>17.2</v>
      </c>
      <c r="AD66" s="106">
        <f t="shared" si="36"/>
        <v>27.38372093023256</v>
      </c>
      <c r="AE66" s="109">
        <v>30</v>
      </c>
      <c r="AF66" s="109">
        <v>1.6</v>
      </c>
      <c r="AG66" s="183">
        <v>29</v>
      </c>
      <c r="AH66" s="183">
        <v>0</v>
      </c>
      <c r="AI66" s="133">
        <f t="shared" si="37"/>
        <v>413.6875</v>
      </c>
      <c r="AJ66" s="267">
        <v>13404</v>
      </c>
      <c r="AK66" s="183">
        <v>80</v>
      </c>
      <c r="AL66" s="148">
        <f t="shared" si="38"/>
        <v>1</v>
      </c>
      <c r="AM66" s="106">
        <f t="shared" si="39"/>
        <v>525</v>
      </c>
      <c r="AN66" s="266">
        <v>2188</v>
      </c>
      <c r="AO66" s="376">
        <f t="shared" si="40"/>
        <v>2188</v>
      </c>
      <c r="AP66" s="106">
        <f t="shared" si="41"/>
        <v>1336.425</v>
      </c>
      <c r="AQ66" s="106">
        <f t="shared" si="42"/>
        <v>19585.6</v>
      </c>
      <c r="AR66" s="106">
        <f t="shared" si="43"/>
        <v>579.1624999999999</v>
      </c>
      <c r="AS66" s="106">
        <f t="shared" si="43"/>
        <v>18765.6</v>
      </c>
      <c r="AT66" s="266">
        <v>2</v>
      </c>
      <c r="AU66" s="266">
        <v>17.5</v>
      </c>
      <c r="AV66" s="376">
        <f t="shared" si="44"/>
        <v>35.15364102564102</v>
      </c>
      <c r="AW66" s="376">
        <f t="shared" si="45"/>
        <v>19.5856</v>
      </c>
      <c r="AX66" s="376">
        <f t="shared" si="46"/>
        <v>23.3874375</v>
      </c>
      <c r="AY66" s="376">
        <f t="shared" si="47"/>
        <v>63.52195078124999</v>
      </c>
      <c r="AZ66" s="148">
        <f t="shared" si="48"/>
        <v>83.10755078124998</v>
      </c>
      <c r="BA66" s="308">
        <f t="shared" si="49"/>
        <v>30.60696426282051</v>
      </c>
      <c r="BB66" s="385" t="str">
        <f t="shared" si="50"/>
        <v>OK</v>
      </c>
      <c r="BC66" s="378">
        <f t="shared" si="51"/>
        <v>216.8125</v>
      </c>
      <c r="BD66" s="106">
        <f t="shared" si="52"/>
        <v>18.067708333333332</v>
      </c>
      <c r="BE66" s="106">
        <f t="shared" si="53"/>
        <v>525</v>
      </c>
      <c r="BF66" s="106">
        <f t="shared" si="54"/>
        <v>43.75</v>
      </c>
      <c r="BG66" s="183">
        <v>103</v>
      </c>
      <c r="BH66" s="380">
        <f t="shared" si="55"/>
        <v>34.36383067908654</v>
      </c>
      <c r="BI66" s="151"/>
      <c r="BJ66" s="18">
        <v>0</v>
      </c>
      <c r="BK66" s="430">
        <f t="shared" si="56"/>
        <v>3.407993966817496</v>
      </c>
      <c r="BL66" s="368">
        <v>312</v>
      </c>
      <c r="BM66" s="375">
        <f t="shared" si="57"/>
        <v>0.5995425908369862</v>
      </c>
      <c r="BN66" s="380">
        <f t="shared" si="58"/>
        <v>0.20835087635734417</v>
      </c>
      <c r="BO66" s="384">
        <f t="shared" si="59"/>
        <v>0.65</v>
      </c>
      <c r="BP66" s="385" t="str">
        <f t="shared" si="60"/>
        <v>OK</v>
      </c>
      <c r="BQ66" s="385" t="str">
        <f t="shared" si="61"/>
        <v>OK</v>
      </c>
    </row>
    <row r="67" spans="2:69" ht="11.25">
      <c r="B67" s="254">
        <v>1</v>
      </c>
      <c r="C67" s="503">
        <f t="shared" si="28"/>
        <v>0.312</v>
      </c>
      <c r="D67" s="54"/>
      <c r="E67" s="458" t="s">
        <v>175</v>
      </c>
      <c r="F67" s="178" t="s">
        <v>206</v>
      </c>
      <c r="G67" s="179" t="s">
        <v>110</v>
      </c>
      <c r="H67" s="179">
        <v>16</v>
      </c>
      <c r="I67" s="390"/>
      <c r="J67" s="80">
        <v>4.71</v>
      </c>
      <c r="K67" s="80">
        <v>12</v>
      </c>
      <c r="L67" s="296">
        <v>0.22</v>
      </c>
      <c r="M67" s="410"/>
      <c r="N67" s="391"/>
      <c r="O67" s="392" t="str">
        <f t="shared" si="29"/>
        <v>NO</v>
      </c>
      <c r="P67" s="297">
        <v>50</v>
      </c>
      <c r="Q67" s="64">
        <v>1.5</v>
      </c>
      <c r="R67" s="297">
        <v>4</v>
      </c>
      <c r="S67" s="80">
        <v>4</v>
      </c>
      <c r="T67" s="297">
        <v>115</v>
      </c>
      <c r="U67" s="81">
        <v>78.75</v>
      </c>
      <c r="V67" s="80">
        <v>19.5</v>
      </c>
      <c r="W67" s="82">
        <f t="shared" si="30"/>
        <v>58.5</v>
      </c>
      <c r="X67" s="83">
        <f t="shared" si="31"/>
        <v>235.5</v>
      </c>
      <c r="Y67" s="84">
        <f t="shared" si="32"/>
        <v>1.1840120663650076</v>
      </c>
      <c r="Z67" s="211">
        <f t="shared" si="33"/>
        <v>166.16869343891403</v>
      </c>
      <c r="AA67" s="132">
        <f t="shared" si="34"/>
        <v>1</v>
      </c>
      <c r="AB67" s="86">
        <f t="shared" si="35"/>
        <v>79.2</v>
      </c>
      <c r="AC67" s="487">
        <v>17.2</v>
      </c>
      <c r="AD67" s="85">
        <f t="shared" si="36"/>
        <v>27.38372093023256</v>
      </c>
      <c r="AE67" s="297">
        <v>30</v>
      </c>
      <c r="AF67" s="297">
        <v>1.6</v>
      </c>
      <c r="AG67" s="410">
        <v>29</v>
      </c>
      <c r="AH67" s="410">
        <v>0</v>
      </c>
      <c r="AI67" s="454">
        <f t="shared" si="37"/>
        <v>413.6875</v>
      </c>
      <c r="AJ67" s="197">
        <v>13404</v>
      </c>
      <c r="AK67" s="410">
        <v>80</v>
      </c>
      <c r="AL67" s="23">
        <f t="shared" si="38"/>
        <v>1</v>
      </c>
      <c r="AM67" s="85">
        <f t="shared" si="39"/>
        <v>525</v>
      </c>
      <c r="AN67" s="185">
        <v>2188</v>
      </c>
      <c r="AO67" s="85">
        <f t="shared" si="40"/>
        <v>2188</v>
      </c>
      <c r="AP67" s="85">
        <f t="shared" si="41"/>
        <v>1336.425</v>
      </c>
      <c r="AQ67" s="85">
        <f t="shared" si="42"/>
        <v>19585.6</v>
      </c>
      <c r="AR67" s="85">
        <f t="shared" si="43"/>
        <v>579.1624999999999</v>
      </c>
      <c r="AS67" s="85">
        <f t="shared" si="43"/>
        <v>18765.6</v>
      </c>
      <c r="AT67" s="185">
        <v>2</v>
      </c>
      <c r="AU67" s="185">
        <v>17.5</v>
      </c>
      <c r="AV67" s="85">
        <f t="shared" si="44"/>
        <v>35.15364102564102</v>
      </c>
      <c r="AW67" s="85">
        <f t="shared" si="45"/>
        <v>19.5856</v>
      </c>
      <c r="AX67" s="85">
        <f t="shared" si="46"/>
        <v>23.3874375</v>
      </c>
      <c r="AY67" s="85">
        <f t="shared" si="47"/>
        <v>63.52195078124999</v>
      </c>
      <c r="AZ67" s="82">
        <f t="shared" si="48"/>
        <v>83.10755078124998</v>
      </c>
      <c r="BA67" s="86">
        <f t="shared" si="49"/>
        <v>30.60696426282051</v>
      </c>
      <c r="BB67" s="89" t="str">
        <f t="shared" si="50"/>
        <v>OK</v>
      </c>
      <c r="BC67" s="114">
        <f t="shared" si="51"/>
        <v>216.8125</v>
      </c>
      <c r="BD67" s="85">
        <f t="shared" si="52"/>
        <v>18.067708333333332</v>
      </c>
      <c r="BE67" s="85">
        <f t="shared" si="53"/>
        <v>525</v>
      </c>
      <c r="BF67" s="85">
        <f t="shared" si="54"/>
        <v>43.75</v>
      </c>
      <c r="BG67" s="410">
        <v>103</v>
      </c>
      <c r="BH67" s="88">
        <f t="shared" si="55"/>
        <v>34.36383067908654</v>
      </c>
      <c r="BI67" s="427"/>
      <c r="BJ67" s="300">
        <v>0</v>
      </c>
      <c r="BK67" s="301">
        <f t="shared" si="56"/>
        <v>3.407993966817496</v>
      </c>
      <c r="BL67" s="429">
        <v>312</v>
      </c>
      <c r="BM67" s="132">
        <f t="shared" si="57"/>
        <v>0.5995425908369862</v>
      </c>
      <c r="BN67" s="88">
        <f t="shared" si="58"/>
        <v>0.20835087635734417</v>
      </c>
      <c r="BO67" s="211">
        <f t="shared" si="59"/>
        <v>0.65</v>
      </c>
      <c r="BP67" s="89" t="str">
        <f t="shared" si="60"/>
        <v>OK</v>
      </c>
      <c r="BQ67" s="89" t="str">
        <f t="shared" si="61"/>
        <v>OK</v>
      </c>
    </row>
    <row r="68" spans="2:69" ht="12" thickBot="1">
      <c r="B68" s="165">
        <v>1</v>
      </c>
      <c r="C68" s="504">
        <f t="shared" si="28"/>
        <v>0.312</v>
      </c>
      <c r="D68" s="54"/>
      <c r="E68" s="115" t="s">
        <v>177</v>
      </c>
      <c r="F68" s="62" t="s">
        <v>207</v>
      </c>
      <c r="G68" s="218" t="s">
        <v>110</v>
      </c>
      <c r="H68" s="218">
        <v>16</v>
      </c>
      <c r="I68" s="273"/>
      <c r="J68" s="100">
        <v>4.71</v>
      </c>
      <c r="K68" s="100">
        <v>12</v>
      </c>
      <c r="L68" s="116">
        <v>0.22</v>
      </c>
      <c r="M68" s="183"/>
      <c r="N68" s="156"/>
      <c r="O68" s="373" t="str">
        <f t="shared" si="29"/>
        <v>NO</v>
      </c>
      <c r="P68" s="286">
        <v>50</v>
      </c>
      <c r="Q68" s="36">
        <v>1.5</v>
      </c>
      <c r="R68" s="286">
        <v>4</v>
      </c>
      <c r="S68" s="306">
        <v>4</v>
      </c>
      <c r="T68" s="286">
        <v>115</v>
      </c>
      <c r="U68" s="35">
        <v>78.75</v>
      </c>
      <c r="V68" s="306">
        <v>19.5</v>
      </c>
      <c r="W68" s="148">
        <f t="shared" si="30"/>
        <v>58.5</v>
      </c>
      <c r="X68" s="149">
        <f t="shared" si="31"/>
        <v>235.5</v>
      </c>
      <c r="Y68" s="150">
        <f t="shared" si="32"/>
        <v>1.1840120663650076</v>
      </c>
      <c r="Z68" s="384">
        <f t="shared" si="33"/>
        <v>166.16869343891403</v>
      </c>
      <c r="AA68" s="375">
        <f t="shared" si="34"/>
        <v>1</v>
      </c>
      <c r="AB68" s="308">
        <f t="shared" si="35"/>
        <v>79.2</v>
      </c>
      <c r="AC68" s="36">
        <v>17.2</v>
      </c>
      <c r="AD68" s="106">
        <f t="shared" si="36"/>
        <v>27.38372093023256</v>
      </c>
      <c r="AE68" s="109">
        <v>30</v>
      </c>
      <c r="AF68" s="109">
        <v>1.6</v>
      </c>
      <c r="AG68" s="183">
        <v>29</v>
      </c>
      <c r="AH68" s="183">
        <v>0</v>
      </c>
      <c r="AI68" s="133">
        <f t="shared" si="37"/>
        <v>413.6875</v>
      </c>
      <c r="AJ68" s="267">
        <v>13404</v>
      </c>
      <c r="AK68" s="183">
        <v>80</v>
      </c>
      <c r="AL68" s="148">
        <f t="shared" si="38"/>
        <v>1</v>
      </c>
      <c r="AM68" s="106">
        <f t="shared" si="39"/>
        <v>525</v>
      </c>
      <c r="AN68" s="266">
        <v>2188</v>
      </c>
      <c r="AO68" s="376">
        <f t="shared" si="40"/>
        <v>2188</v>
      </c>
      <c r="AP68" s="106">
        <f t="shared" si="41"/>
        <v>1336.425</v>
      </c>
      <c r="AQ68" s="106">
        <f t="shared" si="42"/>
        <v>19585.6</v>
      </c>
      <c r="AR68" s="106">
        <f t="shared" si="43"/>
        <v>579.1624999999999</v>
      </c>
      <c r="AS68" s="106">
        <f t="shared" si="43"/>
        <v>18765.6</v>
      </c>
      <c r="AT68" s="266">
        <v>2</v>
      </c>
      <c r="AU68" s="266">
        <v>17.5</v>
      </c>
      <c r="AV68" s="376">
        <f t="shared" si="44"/>
        <v>35.15364102564102</v>
      </c>
      <c r="AW68" s="376">
        <f t="shared" si="45"/>
        <v>19.5856</v>
      </c>
      <c r="AX68" s="376">
        <f t="shared" si="46"/>
        <v>23.3874375</v>
      </c>
      <c r="AY68" s="376">
        <f t="shared" si="47"/>
        <v>63.52195078124999</v>
      </c>
      <c r="AZ68" s="148">
        <f t="shared" si="48"/>
        <v>83.10755078124998</v>
      </c>
      <c r="BA68" s="308">
        <f t="shared" si="49"/>
        <v>30.60696426282051</v>
      </c>
      <c r="BB68" s="385" t="str">
        <f t="shared" si="50"/>
        <v>OK</v>
      </c>
      <c r="BC68" s="378">
        <f t="shared" si="51"/>
        <v>216.8125</v>
      </c>
      <c r="BD68" s="106">
        <f t="shared" si="52"/>
        <v>18.067708333333332</v>
      </c>
      <c r="BE68" s="106">
        <f t="shared" si="53"/>
        <v>525</v>
      </c>
      <c r="BF68" s="106">
        <f t="shared" si="54"/>
        <v>43.75</v>
      </c>
      <c r="BG68" s="183">
        <v>103</v>
      </c>
      <c r="BH68" s="111">
        <f t="shared" si="55"/>
        <v>34.36383067908654</v>
      </c>
      <c r="BI68" s="151"/>
      <c r="BJ68" s="18">
        <v>0</v>
      </c>
      <c r="BK68" s="430">
        <f t="shared" si="56"/>
        <v>3.407993966817496</v>
      </c>
      <c r="BL68" s="110">
        <v>312</v>
      </c>
      <c r="BM68" s="375">
        <f t="shared" si="57"/>
        <v>0.5995425908369862</v>
      </c>
      <c r="BN68" s="380">
        <f t="shared" si="58"/>
        <v>0.20835087635734417</v>
      </c>
      <c r="BO68" s="384">
        <f t="shared" si="59"/>
        <v>0.65</v>
      </c>
      <c r="BP68" s="385" t="str">
        <f t="shared" si="60"/>
        <v>OK</v>
      </c>
      <c r="BQ68" s="385" t="str">
        <f t="shared" si="61"/>
        <v>OK</v>
      </c>
    </row>
    <row r="70" spans="2:12" ht="12" thickBot="1">
      <c r="B70" s="13"/>
      <c r="C70" s="318"/>
      <c r="E70" s="276"/>
      <c r="F70" s="277" t="s">
        <v>120</v>
      </c>
      <c r="G70" s="278"/>
      <c r="H70" s="278"/>
      <c r="I70" s="279" t="s">
        <v>121</v>
      </c>
      <c r="J70" s="279"/>
      <c r="K70" s="280" t="s">
        <v>122</v>
      </c>
      <c r="L70" s="167"/>
    </row>
    <row r="71" spans="2:12" ht="12" thickTop="1">
      <c r="B71" s="13"/>
      <c r="C71" s="318"/>
      <c r="E71" s="241"/>
      <c r="H71" s="8" t="s">
        <v>21</v>
      </c>
      <c r="J71" s="281"/>
      <c r="K71" s="167"/>
      <c r="L71" s="167"/>
    </row>
    <row r="72" spans="1:12" ht="11.25">
      <c r="A72" s="174"/>
      <c r="B72" s="13"/>
      <c r="C72" s="318"/>
      <c r="E72" s="276"/>
      <c r="F72" s="8"/>
      <c r="J72" s="13"/>
      <c r="K72" s="10"/>
      <c r="L72" s="13"/>
    </row>
    <row r="73" spans="2:58" ht="12" thickBot="1">
      <c r="B73" s="36"/>
      <c r="G73" s="36"/>
      <c r="H73" s="36"/>
      <c r="I73" s="36"/>
      <c r="J73" s="408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</row>
    <row r="74" spans="2:58" ht="12" thickBot="1">
      <c r="B74" s="138"/>
      <c r="C74" s="502"/>
      <c r="D74" s="54"/>
      <c r="E74" s="121" t="s">
        <v>192</v>
      </c>
      <c r="F74" s="418" t="s">
        <v>212</v>
      </c>
      <c r="G74" s="36"/>
      <c r="H74" s="36"/>
      <c r="I74" s="177"/>
      <c r="J74" s="36"/>
      <c r="K74" s="408"/>
      <c r="L74" s="36"/>
      <c r="M74" s="408"/>
      <c r="N74" s="433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151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Q74" s="151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151"/>
    </row>
    <row r="75" spans="2:58" ht="11.25">
      <c r="B75" s="446" t="s">
        <v>244</v>
      </c>
      <c r="C75" s="497" t="s">
        <v>56</v>
      </c>
      <c r="D75" s="54"/>
      <c r="E75" s="76" t="s">
        <v>213</v>
      </c>
      <c r="F75" s="56" t="s">
        <v>214</v>
      </c>
      <c r="G75" s="6" t="s">
        <v>58</v>
      </c>
      <c r="H75" s="6"/>
      <c r="I75" s="188"/>
      <c r="J75" s="6"/>
      <c r="K75" s="6"/>
      <c r="L75" s="6"/>
      <c r="M75" s="220"/>
      <c r="N75" s="243"/>
      <c r="O75" s="6"/>
      <c r="P75" s="3"/>
      <c r="Q75" s="38" t="s">
        <v>34</v>
      </c>
      <c r="R75" s="70"/>
      <c r="S75" s="26" t="s">
        <v>61</v>
      </c>
      <c r="T75" s="50"/>
      <c r="U75" s="5" t="s">
        <v>25</v>
      </c>
      <c r="V75" s="4"/>
      <c r="W75" s="4"/>
      <c r="X75" s="14" t="s">
        <v>49</v>
      </c>
      <c r="Y75" s="7"/>
      <c r="Z75" s="37"/>
      <c r="AA75" s="163" t="s">
        <v>96</v>
      </c>
      <c r="AB75" s="159"/>
      <c r="AC75" s="38" t="s">
        <v>17</v>
      </c>
      <c r="AD75" s="4"/>
      <c r="AE75" s="15" t="s">
        <v>7</v>
      </c>
      <c r="AF75" s="15" t="s">
        <v>7</v>
      </c>
      <c r="AG75" s="259" t="s">
        <v>7</v>
      </c>
      <c r="AH75" s="14" t="s">
        <v>7</v>
      </c>
      <c r="AI75" s="15" t="s">
        <v>7</v>
      </c>
      <c r="AJ75" s="45" t="s">
        <v>8</v>
      </c>
      <c r="AK75" s="98" t="s">
        <v>8</v>
      </c>
      <c r="AL75" s="43" t="s">
        <v>8</v>
      </c>
      <c r="AM75" s="43" t="s">
        <v>97</v>
      </c>
      <c r="AN75" s="12" t="s">
        <v>98</v>
      </c>
      <c r="AO75" s="3"/>
      <c r="AP75" s="7"/>
      <c r="AQ75" s="39" t="s">
        <v>50</v>
      </c>
      <c r="AR75" s="42" t="s">
        <v>7</v>
      </c>
      <c r="AS75" s="14" t="s">
        <v>7</v>
      </c>
      <c r="AT75" s="15" t="s">
        <v>8</v>
      </c>
      <c r="AU75" s="15" t="s">
        <v>8</v>
      </c>
      <c r="AV75" s="42" t="s">
        <v>34</v>
      </c>
      <c r="AW75" s="41" t="s">
        <v>14</v>
      </c>
      <c r="AX75" s="41" t="s">
        <v>51</v>
      </c>
      <c r="AY75" s="15" t="s">
        <v>9</v>
      </c>
      <c r="AZ75" s="15" t="s">
        <v>10</v>
      </c>
      <c r="BA75" s="17" t="s">
        <v>29</v>
      </c>
      <c r="BB75" s="42" t="s">
        <v>41</v>
      </c>
      <c r="BC75" s="41" t="s">
        <v>42</v>
      </c>
      <c r="BD75" s="57" t="s">
        <v>99</v>
      </c>
      <c r="BE75" s="55" t="s">
        <v>7</v>
      </c>
      <c r="BF75" s="56" t="s">
        <v>8</v>
      </c>
    </row>
    <row r="76" spans="2:58" ht="11.25">
      <c r="B76" s="93"/>
      <c r="C76" s="498"/>
      <c r="D76" s="54"/>
      <c r="E76" s="76"/>
      <c r="F76" s="44"/>
      <c r="G76" s="64"/>
      <c r="H76" s="64"/>
      <c r="I76" s="65"/>
      <c r="J76" s="64"/>
      <c r="K76" s="64"/>
      <c r="L76" s="64"/>
      <c r="M76" s="247"/>
      <c r="N76" s="244"/>
      <c r="O76" s="64"/>
      <c r="P76" s="69"/>
      <c r="Q76" s="14" t="s">
        <v>1</v>
      </c>
      <c r="R76" s="71"/>
      <c r="S76" s="72" t="s">
        <v>62</v>
      </c>
      <c r="T76" s="72" t="s">
        <v>63</v>
      </c>
      <c r="U76" s="12" t="s">
        <v>26</v>
      </c>
      <c r="V76" s="11"/>
      <c r="W76" s="11"/>
      <c r="Y76" s="16"/>
      <c r="Z76" s="41" t="s">
        <v>51</v>
      </c>
      <c r="AA76" s="160" t="s">
        <v>74</v>
      </c>
      <c r="AB76" s="41" t="s">
        <v>52</v>
      </c>
      <c r="AC76" s="14" t="s">
        <v>18</v>
      </c>
      <c r="AD76" s="15" t="s">
        <v>30</v>
      </c>
      <c r="AE76" s="15" t="s">
        <v>70</v>
      </c>
      <c r="AF76" s="15" t="s">
        <v>34</v>
      </c>
      <c r="AG76" s="15" t="s">
        <v>61</v>
      </c>
      <c r="AH76" s="98" t="s">
        <v>87</v>
      </c>
      <c r="AI76" s="15" t="s">
        <v>62</v>
      </c>
      <c r="AJ76" s="10"/>
      <c r="AK76" s="98" t="s">
        <v>67</v>
      </c>
      <c r="AL76" s="43" t="s">
        <v>81</v>
      </c>
      <c r="AM76" s="43" t="s">
        <v>15</v>
      </c>
      <c r="AN76" s="12"/>
      <c r="AO76" s="42" t="s">
        <v>14</v>
      </c>
      <c r="AP76" s="17" t="s">
        <v>36</v>
      </c>
      <c r="AQ76" s="44" t="s">
        <v>37</v>
      </c>
      <c r="AR76" s="42" t="s">
        <v>85</v>
      </c>
      <c r="AS76" s="13"/>
      <c r="AT76" s="11"/>
      <c r="AU76" s="11"/>
      <c r="AV76" s="42" t="s">
        <v>33</v>
      </c>
      <c r="AW76" s="17" t="s">
        <v>85</v>
      </c>
      <c r="AX76" s="40" t="s">
        <v>34</v>
      </c>
      <c r="AY76" s="10"/>
      <c r="AZ76" s="13"/>
      <c r="BA76" s="17" t="s">
        <v>46</v>
      </c>
      <c r="BB76" s="42" t="s">
        <v>13</v>
      </c>
      <c r="BC76" s="41"/>
      <c r="BD76" s="54"/>
      <c r="BE76" s="58" t="s">
        <v>39</v>
      </c>
      <c r="BF76" s="44" t="s">
        <v>39</v>
      </c>
    </row>
    <row r="77" spans="2:58" ht="11.25">
      <c r="B77" s="93"/>
      <c r="C77" s="498"/>
      <c r="D77" s="54"/>
      <c r="E77" s="76"/>
      <c r="F77" s="44"/>
      <c r="G77" s="73" t="s">
        <v>59</v>
      </c>
      <c r="H77" s="10" t="s">
        <v>56</v>
      </c>
      <c r="I77" s="269" t="s">
        <v>88</v>
      </c>
      <c r="J77" s="15" t="s">
        <v>47</v>
      </c>
      <c r="K77" s="15" t="s">
        <v>0</v>
      </c>
      <c r="L77" s="15" t="s">
        <v>2</v>
      </c>
      <c r="M77" s="43" t="s">
        <v>90</v>
      </c>
      <c r="N77" s="245" t="s">
        <v>91</v>
      </c>
      <c r="O77" s="15" t="s">
        <v>95</v>
      </c>
      <c r="P77" s="15" t="s">
        <v>3</v>
      </c>
      <c r="Q77" s="14" t="s">
        <v>19</v>
      </c>
      <c r="R77" s="15" t="s">
        <v>4</v>
      </c>
      <c r="S77" s="15" t="s">
        <v>19</v>
      </c>
      <c r="T77" s="15" t="s">
        <v>56</v>
      </c>
      <c r="U77" s="12" t="s">
        <v>16</v>
      </c>
      <c r="V77" s="15" t="s">
        <v>21</v>
      </c>
      <c r="W77" s="15" t="s">
        <v>48</v>
      </c>
      <c r="X77" s="14" t="s">
        <v>6</v>
      </c>
      <c r="Y77" s="17" t="s">
        <v>5</v>
      </c>
      <c r="Z77" s="41" t="s">
        <v>53</v>
      </c>
      <c r="AA77" s="161"/>
      <c r="AB77" s="41"/>
      <c r="AC77" s="14" t="s">
        <v>32</v>
      </c>
      <c r="AD77" s="15" t="s">
        <v>31</v>
      </c>
      <c r="AE77" s="15" t="s">
        <v>71</v>
      </c>
      <c r="AF77" s="15" t="s">
        <v>72</v>
      </c>
      <c r="AG77" s="15"/>
      <c r="AH77" s="98" t="s">
        <v>86</v>
      </c>
      <c r="AI77" s="15"/>
      <c r="AJ77" s="11"/>
      <c r="AK77" s="98" t="s">
        <v>27</v>
      </c>
      <c r="AL77" s="43" t="s">
        <v>82</v>
      </c>
      <c r="AM77" s="15" t="s">
        <v>83</v>
      </c>
      <c r="AN77" s="42" t="s">
        <v>83</v>
      </c>
      <c r="AO77" s="42"/>
      <c r="AP77" s="17"/>
      <c r="AQ77" s="41" t="s">
        <v>54</v>
      </c>
      <c r="AR77" s="134"/>
      <c r="AS77" s="11"/>
      <c r="AT77" s="11"/>
      <c r="AU77" s="11"/>
      <c r="AV77" s="11"/>
      <c r="AW77" s="16"/>
      <c r="AX77" s="40" t="s">
        <v>84</v>
      </c>
      <c r="AY77" s="10"/>
      <c r="AZ77" s="11"/>
      <c r="BA77" s="54"/>
      <c r="BB77" s="10"/>
      <c r="BC77" s="16"/>
      <c r="BD77" s="93"/>
      <c r="BE77" s="93"/>
      <c r="BF77" s="93"/>
    </row>
    <row r="78" spans="2:58" ht="12" thickBot="1">
      <c r="B78" s="381"/>
      <c r="C78" s="499" t="s">
        <v>246</v>
      </c>
      <c r="D78" s="54"/>
      <c r="E78" s="77"/>
      <c r="F78" s="62"/>
      <c r="G78" s="18" t="s">
        <v>60</v>
      </c>
      <c r="H78" s="18" t="s">
        <v>11</v>
      </c>
      <c r="I78" s="270"/>
      <c r="J78" s="1" t="s">
        <v>43</v>
      </c>
      <c r="K78" s="1" t="s">
        <v>40</v>
      </c>
      <c r="L78" s="1" t="s">
        <v>40</v>
      </c>
      <c r="M78" s="48"/>
      <c r="N78" s="246"/>
      <c r="O78" s="1"/>
      <c r="P78" s="1" t="s">
        <v>44</v>
      </c>
      <c r="Q78" s="20" t="s">
        <v>40</v>
      </c>
      <c r="R78" s="1" t="s">
        <v>44</v>
      </c>
      <c r="S78" s="1" t="s">
        <v>40</v>
      </c>
      <c r="T78" s="1" t="s">
        <v>57</v>
      </c>
      <c r="U78" s="19" t="s">
        <v>40</v>
      </c>
      <c r="V78" s="1" t="s">
        <v>12</v>
      </c>
      <c r="W78" s="1" t="s">
        <v>40</v>
      </c>
      <c r="X78" s="20" t="s">
        <v>35</v>
      </c>
      <c r="Y78" s="21" t="s">
        <v>40</v>
      </c>
      <c r="Z78" s="41" t="s">
        <v>45</v>
      </c>
      <c r="AA78" s="161"/>
      <c r="AB78" s="17" t="s">
        <v>35</v>
      </c>
      <c r="AC78" s="14" t="s">
        <v>24</v>
      </c>
      <c r="AD78" s="15" t="s">
        <v>22</v>
      </c>
      <c r="AE78" s="15" t="s">
        <v>28</v>
      </c>
      <c r="AF78" s="15" t="s">
        <v>28</v>
      </c>
      <c r="AG78" s="42" t="s">
        <v>28</v>
      </c>
      <c r="AH78" s="42" t="s">
        <v>11</v>
      </c>
      <c r="AI78" s="15" t="s">
        <v>11</v>
      </c>
      <c r="AJ78" s="45" t="s">
        <v>28</v>
      </c>
      <c r="AK78" s="11"/>
      <c r="AL78" s="43" t="s">
        <v>11</v>
      </c>
      <c r="AM78" s="215" t="s">
        <v>11</v>
      </c>
      <c r="AN78" s="234" t="s">
        <v>11</v>
      </c>
      <c r="AO78" s="42" t="s">
        <v>45</v>
      </c>
      <c r="AP78" s="17" t="s">
        <v>35</v>
      </c>
      <c r="AQ78" s="57" t="s">
        <v>23</v>
      </c>
      <c r="AR78" s="135" t="s">
        <v>11</v>
      </c>
      <c r="AS78" s="59" t="s">
        <v>20</v>
      </c>
      <c r="AT78" s="60" t="s">
        <v>11</v>
      </c>
      <c r="AU78" s="60" t="s">
        <v>20</v>
      </c>
      <c r="AV78" s="47" t="s">
        <v>38</v>
      </c>
      <c r="AW78" s="46" t="s">
        <v>45</v>
      </c>
      <c r="AX78" s="46" t="s">
        <v>45</v>
      </c>
      <c r="AY78" s="1" t="s">
        <v>40</v>
      </c>
      <c r="AZ78" s="1" t="s">
        <v>40</v>
      </c>
      <c r="BA78" s="49" t="s">
        <v>38</v>
      </c>
      <c r="BB78" s="2" t="s">
        <v>40</v>
      </c>
      <c r="BC78" s="46" t="s">
        <v>40</v>
      </c>
      <c r="BD78" s="136" t="s">
        <v>40</v>
      </c>
      <c r="BE78" s="61" t="s">
        <v>23</v>
      </c>
      <c r="BF78" s="61" t="s">
        <v>23</v>
      </c>
    </row>
    <row r="79" spans="2:58" ht="11.25">
      <c r="B79" s="118">
        <v>14</v>
      </c>
      <c r="C79" s="507">
        <f>B79*V79*$H79/1000</f>
        <v>2.94</v>
      </c>
      <c r="D79" s="54"/>
      <c r="E79" s="123" t="s">
        <v>255</v>
      </c>
      <c r="F79" s="78" t="s">
        <v>257</v>
      </c>
      <c r="G79" s="179" t="s">
        <v>73</v>
      </c>
      <c r="H79" s="139">
        <v>12</v>
      </c>
      <c r="I79" s="271"/>
      <c r="J79" s="22">
        <v>3.54</v>
      </c>
      <c r="K79" s="22">
        <v>9.87</v>
      </c>
      <c r="L79" s="25">
        <v>0.19</v>
      </c>
      <c r="M79" s="248"/>
      <c r="N79" s="154"/>
      <c r="O79" s="208" t="str">
        <f aca="true" t="shared" si="62" ref="O79:O86">IF(M79&lt;1.1*((N79*29000)/P79)^0.5,1,"NO")</f>
        <v>NO</v>
      </c>
      <c r="P79" s="4">
        <v>50</v>
      </c>
      <c r="Q79" s="6">
        <v>1.5</v>
      </c>
      <c r="R79" s="4">
        <v>4</v>
      </c>
      <c r="S79" s="140">
        <v>4</v>
      </c>
      <c r="T79" s="4">
        <v>115</v>
      </c>
      <c r="U79" s="24">
        <v>75</v>
      </c>
      <c r="V79" s="22">
        <v>17.5</v>
      </c>
      <c r="W79" s="23">
        <f aca="true" t="shared" si="63" ref="W79:W86">MIN((V79/4)*12,U79)</f>
        <v>52.5</v>
      </c>
      <c r="X79" s="27">
        <f aca="true" t="shared" si="64" ref="X79:X86">J79*P79</f>
        <v>177</v>
      </c>
      <c r="Y79" s="28">
        <f aca="true" t="shared" si="65" ref="Y79:Y86">(J79*P79)/(0.85*R79*W79)</f>
        <v>0.9915966386554622</v>
      </c>
      <c r="Z79" s="102">
        <f aca="true" t="shared" si="66" ref="Z79:Z86">(0.9*((J79*P79*(K79/2))+(0.85*R79*Y79*W79*(S79-(Y79/2)))))/12</f>
        <v>112.03040231092437</v>
      </c>
      <c r="AA79" s="162">
        <f aca="true" t="shared" si="67" ref="AA79:AA86">IF(I79="v",0.9,1)</f>
        <v>1</v>
      </c>
      <c r="AB79" s="209">
        <f aca="true" t="shared" si="68" ref="AB79:AB86">IF(O79="NO",AA79*0.6*P79*K79*L79,AA79*0.6*P79*K79*L79*O79)</f>
        <v>56.25899999999999</v>
      </c>
      <c r="AC79" s="6">
        <v>17.2</v>
      </c>
      <c r="AD79" s="143">
        <f aca="true" t="shared" si="69" ref="AD79:AD86">(X79/AC79)*2</f>
        <v>20.58139534883721</v>
      </c>
      <c r="AE79" s="4">
        <v>30</v>
      </c>
      <c r="AF79" s="4">
        <v>1.6</v>
      </c>
      <c r="AG79" s="141">
        <v>29</v>
      </c>
      <c r="AH79" s="141">
        <v>0</v>
      </c>
      <c r="AI79" s="144">
        <f aca="true" t="shared" si="70" ref="AI79:AI86">((AE79+AG79+AF79)*(U79/12))+H79+AH79</f>
        <v>390.75</v>
      </c>
      <c r="AJ79" s="24">
        <v>80</v>
      </c>
      <c r="AK79" s="23">
        <f aca="true" t="shared" si="71" ref="AK79:AK86">IF(0.25+(15/($F$8*V79*(U79/12))^0.5)&gt;0.5,IF(0.25+(15/($F$8*V79*(U79/12))^0.5)&gt;1,1,0.25+(15/($F$8*V79*(U79/12))^0.5)),0.5)</f>
        <v>1</v>
      </c>
      <c r="AL79" s="143">
        <f aca="true" t="shared" si="72" ref="AL79:AL86">(AJ79*AK79)*(U79/12)</f>
        <v>500</v>
      </c>
      <c r="AM79" s="143">
        <f aca="true" t="shared" si="73" ref="AM79:AM86">(1.2*AI79)+(1.6*AL79)</f>
        <v>1268.9</v>
      </c>
      <c r="AN79" s="143">
        <f aca="true" t="shared" si="74" ref="AN79:AN86">1.4*AI79</f>
        <v>547.05</v>
      </c>
      <c r="AO79" s="142">
        <f aca="true" t="shared" si="75" ref="AO79:AO86">MAX((AN79*V79*V79)/8000,(AM79*V79*V79)/8000)</f>
        <v>48.575078125</v>
      </c>
      <c r="AP79" s="51">
        <f aca="true" t="shared" si="76" ref="AP79:AP86">MAX(AN79*V79/2000,AM79*V79/2000)</f>
        <v>11.102875</v>
      </c>
      <c r="AQ79" s="90" t="str">
        <f aca="true" t="shared" si="77" ref="AQ79:AQ86">IF(AND(Z79&gt;AO79,AB79&gt;AP79),"OK","NG")</f>
        <v>OK</v>
      </c>
      <c r="AR79" s="103">
        <f aca="true" t="shared" si="78" ref="AR79:AR86">((AF79+AG79)*(U79/12))+H79</f>
        <v>203.25</v>
      </c>
      <c r="AS79" s="145">
        <f aca="true" t="shared" si="79" ref="AS79:AS86">AR79/12</f>
        <v>16.9375</v>
      </c>
      <c r="AT79" s="143">
        <f aca="true" t="shared" si="80" ref="AT79:AT86">AJ79*(U79/12)</f>
        <v>500</v>
      </c>
      <c r="AU79" s="143">
        <f aca="true" t="shared" si="81" ref="AU79:AU86">AT79/12</f>
        <v>41.666666666666664</v>
      </c>
      <c r="AV79" s="31">
        <v>53.8</v>
      </c>
      <c r="AW79" s="68">
        <f aca="true" t="shared" si="82" ref="AW79:AW86">(AR79*V79*V79)/8000</f>
        <v>7.7806640625</v>
      </c>
      <c r="AX79" s="118">
        <v>46.9</v>
      </c>
      <c r="AY79" s="126">
        <v>0</v>
      </c>
      <c r="AZ79" s="237">
        <f aca="true" t="shared" si="83" ref="AZ79:AZ86">S79-Y79/2</f>
        <v>3.504201680672269</v>
      </c>
      <c r="BA79" s="67">
        <v>180</v>
      </c>
      <c r="BB79" s="162">
        <f aca="true" t="shared" si="84" ref="BB79:BB86">(5*(AS79)*((V79*12)^4))/(384*29000000*AV79)</f>
        <v>0.2749064904789851</v>
      </c>
      <c r="BC79" s="68">
        <f aca="true" t="shared" si="85" ref="BC79:BC86">(5*(AU79)*((V79*12)^4))/(384*29000000*BA79)</f>
        <v>0.2021316002155172</v>
      </c>
      <c r="BD79" s="102">
        <f aca="true" t="shared" si="86" ref="BD79:BD86">(V79/360)*12</f>
        <v>0.5833333333333334</v>
      </c>
      <c r="BE79" s="90" t="str">
        <f aca="true" t="shared" si="87" ref="BE79:BE86">IF(BB79&gt;BD79,"NG","OK")</f>
        <v>OK</v>
      </c>
      <c r="BF79" s="90" t="str">
        <f aca="true" t="shared" si="88" ref="BF79:BF86">IF(BC79&gt;BD79,"NG","OK")</f>
        <v>OK</v>
      </c>
    </row>
    <row r="80" spans="2:58" ht="12" thickBot="1">
      <c r="B80" s="165">
        <v>12</v>
      </c>
      <c r="C80" s="504">
        <f>B80*V80*$H80/1000</f>
        <v>2.808</v>
      </c>
      <c r="D80" s="54"/>
      <c r="E80" s="152" t="s">
        <v>256</v>
      </c>
      <c r="F80" s="178" t="s">
        <v>258</v>
      </c>
      <c r="G80" s="115" t="s">
        <v>73</v>
      </c>
      <c r="H80" s="218">
        <v>12</v>
      </c>
      <c r="I80" s="273"/>
      <c r="J80" s="100">
        <v>3.54</v>
      </c>
      <c r="K80" s="100">
        <v>9.87</v>
      </c>
      <c r="L80" s="116">
        <v>0.19</v>
      </c>
      <c r="M80" s="183"/>
      <c r="N80" s="156"/>
      <c r="O80" s="158" t="str">
        <f t="shared" si="62"/>
        <v>NO</v>
      </c>
      <c r="P80" s="109">
        <v>50</v>
      </c>
      <c r="Q80" s="95">
        <v>1.5</v>
      </c>
      <c r="R80" s="109">
        <v>4</v>
      </c>
      <c r="S80" s="100">
        <v>4</v>
      </c>
      <c r="T80" s="109">
        <v>115</v>
      </c>
      <c r="U80" s="108">
        <v>82.5</v>
      </c>
      <c r="V80" s="100">
        <v>19.5</v>
      </c>
      <c r="W80" s="107">
        <f t="shared" si="63"/>
        <v>58.5</v>
      </c>
      <c r="X80" s="146">
        <f t="shared" si="64"/>
        <v>177</v>
      </c>
      <c r="Y80" s="147">
        <f t="shared" si="65"/>
        <v>0.889894419306184</v>
      </c>
      <c r="Z80" s="211">
        <f t="shared" si="66"/>
        <v>112.70545079185518</v>
      </c>
      <c r="AA80" s="132">
        <f t="shared" si="67"/>
        <v>1</v>
      </c>
      <c r="AB80" s="128">
        <f t="shared" si="68"/>
        <v>56.25899999999999</v>
      </c>
      <c r="AC80" s="227">
        <v>17.2</v>
      </c>
      <c r="AD80" s="52">
        <f t="shared" si="69"/>
        <v>20.58139534883721</v>
      </c>
      <c r="AE80" s="34">
        <v>30</v>
      </c>
      <c r="AF80" s="34">
        <v>1.6</v>
      </c>
      <c r="AG80" s="226">
        <v>29</v>
      </c>
      <c r="AH80" s="226">
        <v>0</v>
      </c>
      <c r="AI80" s="112">
        <f t="shared" si="70"/>
        <v>428.625</v>
      </c>
      <c r="AJ80" s="31">
        <v>80</v>
      </c>
      <c r="AK80" s="124">
        <f t="shared" si="71"/>
        <v>1</v>
      </c>
      <c r="AL80" s="52">
        <f t="shared" si="72"/>
        <v>550</v>
      </c>
      <c r="AM80" s="52">
        <f t="shared" si="73"/>
        <v>1394.35</v>
      </c>
      <c r="AN80" s="52">
        <f t="shared" si="74"/>
        <v>600.0749999999999</v>
      </c>
      <c r="AO80" s="30">
        <f t="shared" si="75"/>
        <v>66.2751984375</v>
      </c>
      <c r="AP80" s="128">
        <f t="shared" si="76"/>
        <v>13.594912499999998</v>
      </c>
      <c r="AQ80" s="91" t="str">
        <f t="shared" si="77"/>
        <v>OK</v>
      </c>
      <c r="AR80" s="114">
        <f t="shared" si="78"/>
        <v>222.375</v>
      </c>
      <c r="AS80" s="52">
        <f t="shared" si="79"/>
        <v>18.53125</v>
      </c>
      <c r="AT80" s="52">
        <f t="shared" si="80"/>
        <v>550</v>
      </c>
      <c r="AU80" s="52">
        <f t="shared" si="81"/>
        <v>45.833333333333336</v>
      </c>
      <c r="AV80" s="81">
        <v>53.8</v>
      </c>
      <c r="AW80" s="63">
        <f t="shared" si="82"/>
        <v>10.56976171875</v>
      </c>
      <c r="AX80" s="119">
        <v>46.9</v>
      </c>
      <c r="AY80" s="125">
        <v>0</v>
      </c>
      <c r="AZ80" s="238">
        <f t="shared" si="83"/>
        <v>3.555052790346908</v>
      </c>
      <c r="BA80" s="67">
        <v>180</v>
      </c>
      <c r="BB80" s="131">
        <f t="shared" si="84"/>
        <v>0.4636888481219355</v>
      </c>
      <c r="BC80" s="63">
        <f t="shared" si="85"/>
        <v>0.34277816540948275</v>
      </c>
      <c r="BD80" s="211">
        <f t="shared" si="86"/>
        <v>0.65</v>
      </c>
      <c r="BE80" s="89" t="str">
        <f t="shared" si="87"/>
        <v>OK</v>
      </c>
      <c r="BF80" s="89" t="str">
        <f t="shared" si="88"/>
        <v>OK</v>
      </c>
    </row>
    <row r="81" spans="1:58" ht="11.25">
      <c r="A81" s="174"/>
      <c r="B81" s="254">
        <v>30</v>
      </c>
      <c r="C81" s="507">
        <f>B81*V81*$H81/1000</f>
        <v>13.2</v>
      </c>
      <c r="D81" s="54"/>
      <c r="E81" s="436" t="s">
        <v>218</v>
      </c>
      <c r="F81" s="56">
        <v>2</v>
      </c>
      <c r="G81" s="179" t="s">
        <v>219</v>
      </c>
      <c r="H81" s="179">
        <v>16</v>
      </c>
      <c r="I81" s="390"/>
      <c r="J81" s="80">
        <v>4.71</v>
      </c>
      <c r="K81" s="80">
        <v>12</v>
      </c>
      <c r="L81" s="296">
        <v>0.22</v>
      </c>
      <c r="M81" s="410"/>
      <c r="N81" s="391"/>
      <c r="O81" s="216" t="str">
        <f t="shared" si="62"/>
        <v>NO</v>
      </c>
      <c r="P81" s="11">
        <v>50</v>
      </c>
      <c r="Q81" s="13">
        <v>1.5</v>
      </c>
      <c r="R81" s="11">
        <v>4</v>
      </c>
      <c r="S81" s="74">
        <v>4</v>
      </c>
      <c r="T81" s="11">
        <v>115</v>
      </c>
      <c r="U81" s="81">
        <v>75</v>
      </c>
      <c r="V81" s="80">
        <v>27.5</v>
      </c>
      <c r="W81" s="82">
        <f t="shared" si="63"/>
        <v>75</v>
      </c>
      <c r="X81" s="27">
        <f t="shared" si="64"/>
        <v>235.5</v>
      </c>
      <c r="Y81" s="28">
        <f t="shared" si="65"/>
        <v>0.9235294117647059</v>
      </c>
      <c r="Z81" s="102">
        <f t="shared" si="66"/>
        <v>168.46908088235293</v>
      </c>
      <c r="AA81" s="162">
        <f t="shared" si="67"/>
        <v>1</v>
      </c>
      <c r="AB81" s="209">
        <f t="shared" si="68"/>
        <v>79.2</v>
      </c>
      <c r="AC81" s="6">
        <v>17.2</v>
      </c>
      <c r="AD81" s="143">
        <f t="shared" si="69"/>
        <v>27.38372093023256</v>
      </c>
      <c r="AE81" s="4">
        <v>30</v>
      </c>
      <c r="AF81" s="4">
        <v>1.6</v>
      </c>
      <c r="AG81" s="141">
        <v>29</v>
      </c>
      <c r="AH81" s="141">
        <v>0</v>
      </c>
      <c r="AI81" s="144">
        <f t="shared" si="70"/>
        <v>394.75</v>
      </c>
      <c r="AJ81" s="24">
        <v>80</v>
      </c>
      <c r="AK81" s="23">
        <f t="shared" si="71"/>
        <v>1</v>
      </c>
      <c r="AL81" s="143">
        <f t="shared" si="72"/>
        <v>500</v>
      </c>
      <c r="AM81" s="143">
        <f t="shared" si="73"/>
        <v>1273.7</v>
      </c>
      <c r="AN81" s="143">
        <f t="shared" si="74"/>
        <v>552.65</v>
      </c>
      <c r="AO81" s="142">
        <f t="shared" si="75"/>
        <v>120.404453125</v>
      </c>
      <c r="AP81" s="51">
        <f t="shared" si="76"/>
        <v>17.513375</v>
      </c>
      <c r="AQ81" s="90" t="str">
        <f t="shared" si="77"/>
        <v>OK</v>
      </c>
      <c r="AR81" s="103">
        <f t="shared" si="78"/>
        <v>207.25</v>
      </c>
      <c r="AS81" s="235">
        <f t="shared" si="79"/>
        <v>17.270833333333332</v>
      </c>
      <c r="AT81" s="143">
        <f t="shared" si="80"/>
        <v>500</v>
      </c>
      <c r="AU81" s="143">
        <f t="shared" si="81"/>
        <v>41.666666666666664</v>
      </c>
      <c r="AV81" s="24">
        <v>103</v>
      </c>
      <c r="AW81" s="68">
        <f t="shared" si="82"/>
        <v>19.5916015625</v>
      </c>
      <c r="AX81" s="118">
        <v>75.4</v>
      </c>
      <c r="AY81" s="50">
        <v>0</v>
      </c>
      <c r="AZ81" s="237">
        <f t="shared" si="83"/>
        <v>3.538235294117647</v>
      </c>
      <c r="BA81" s="66">
        <v>317</v>
      </c>
      <c r="BB81" s="162">
        <f t="shared" si="84"/>
        <v>0.8928378850670613</v>
      </c>
      <c r="BC81" s="68">
        <f t="shared" si="85"/>
        <v>0.6998839555232242</v>
      </c>
      <c r="BD81" s="102">
        <f t="shared" si="86"/>
        <v>0.9166666666666667</v>
      </c>
      <c r="BE81" s="90" t="str">
        <f t="shared" si="87"/>
        <v>OK</v>
      </c>
      <c r="BF81" s="90" t="str">
        <f t="shared" si="88"/>
        <v>OK</v>
      </c>
    </row>
    <row r="82" spans="2:58" ht="11.25">
      <c r="B82" s="254"/>
      <c r="C82" s="505"/>
      <c r="D82" s="54"/>
      <c r="E82" s="152"/>
      <c r="F82" s="79" t="s">
        <v>215</v>
      </c>
      <c r="G82" s="223" t="s">
        <v>219</v>
      </c>
      <c r="H82" s="223">
        <v>16</v>
      </c>
      <c r="I82" s="272"/>
      <c r="J82" s="207">
        <v>4.71</v>
      </c>
      <c r="K82" s="207">
        <v>12</v>
      </c>
      <c r="L82" s="225">
        <v>0.22</v>
      </c>
      <c r="M82" s="226"/>
      <c r="N82" s="155"/>
      <c r="O82" s="157" t="str">
        <f t="shared" si="62"/>
        <v>NO</v>
      </c>
      <c r="P82" s="34">
        <v>50</v>
      </c>
      <c r="Q82" s="33">
        <v>1.5</v>
      </c>
      <c r="R82" s="34">
        <v>4</v>
      </c>
      <c r="S82" s="29">
        <v>4</v>
      </c>
      <c r="T82" s="34">
        <v>115</v>
      </c>
      <c r="U82" s="31">
        <v>82.5</v>
      </c>
      <c r="V82" s="80">
        <v>27.5</v>
      </c>
      <c r="W82" s="30">
        <f t="shared" si="63"/>
        <v>82.5</v>
      </c>
      <c r="X82" s="146">
        <f t="shared" si="64"/>
        <v>235.5</v>
      </c>
      <c r="Y82" s="147">
        <f t="shared" si="65"/>
        <v>0.839572192513369</v>
      </c>
      <c r="Z82" s="211">
        <f t="shared" si="66"/>
        <v>169.21052807486632</v>
      </c>
      <c r="AA82" s="132">
        <f t="shared" si="67"/>
        <v>1</v>
      </c>
      <c r="AB82" s="128">
        <f t="shared" si="68"/>
        <v>79.2</v>
      </c>
      <c r="AC82" s="227">
        <v>17.2</v>
      </c>
      <c r="AD82" s="52">
        <f t="shared" si="69"/>
        <v>27.38372093023256</v>
      </c>
      <c r="AE82" s="34">
        <v>30</v>
      </c>
      <c r="AF82" s="34">
        <v>1.6</v>
      </c>
      <c r="AG82" s="226">
        <v>29</v>
      </c>
      <c r="AH82" s="226">
        <v>0</v>
      </c>
      <c r="AI82" s="112">
        <f t="shared" si="70"/>
        <v>432.625</v>
      </c>
      <c r="AJ82" s="31">
        <v>80</v>
      </c>
      <c r="AK82" s="30">
        <f t="shared" si="71"/>
        <v>1</v>
      </c>
      <c r="AL82" s="52">
        <f t="shared" si="72"/>
        <v>550</v>
      </c>
      <c r="AM82" s="52">
        <f t="shared" si="73"/>
        <v>1399.15</v>
      </c>
      <c r="AN82" s="52">
        <f t="shared" si="74"/>
        <v>605.675</v>
      </c>
      <c r="AO82" s="30">
        <f t="shared" si="75"/>
        <v>132.2633984375</v>
      </c>
      <c r="AP82" s="128">
        <f t="shared" si="76"/>
        <v>19.2383125</v>
      </c>
      <c r="AQ82" s="91" t="str">
        <f t="shared" si="77"/>
        <v>OK</v>
      </c>
      <c r="AR82" s="120">
        <f t="shared" si="78"/>
        <v>226.375</v>
      </c>
      <c r="AS82" s="213">
        <f t="shared" si="79"/>
        <v>18.864583333333332</v>
      </c>
      <c r="AT82" s="52">
        <f t="shared" si="80"/>
        <v>550</v>
      </c>
      <c r="AU82" s="52">
        <f t="shared" si="81"/>
        <v>45.833333333333336</v>
      </c>
      <c r="AV82" s="81">
        <v>103</v>
      </c>
      <c r="AW82" s="63">
        <f t="shared" si="82"/>
        <v>21.39951171875</v>
      </c>
      <c r="AX82" s="119">
        <v>75.4</v>
      </c>
      <c r="AY82" s="69">
        <v>0</v>
      </c>
      <c r="AZ82" s="238">
        <f t="shared" si="83"/>
        <v>3.5802139037433154</v>
      </c>
      <c r="BA82" s="87">
        <v>317</v>
      </c>
      <c r="BB82" s="131">
        <f t="shared" si="84"/>
        <v>0.9752288358603427</v>
      </c>
      <c r="BC82" s="63">
        <f t="shared" si="85"/>
        <v>0.7698723510755466</v>
      </c>
      <c r="BD82" s="130">
        <f t="shared" si="86"/>
        <v>0.9166666666666667</v>
      </c>
      <c r="BE82" s="91" t="str">
        <f t="shared" si="87"/>
        <v>NG</v>
      </c>
      <c r="BF82" s="91" t="str">
        <f t="shared" si="88"/>
        <v>OK</v>
      </c>
    </row>
    <row r="83" spans="1:58" s="174" customFormat="1" ht="12" thickBot="1">
      <c r="A83" s="8"/>
      <c r="B83" s="165"/>
      <c r="C83" s="506"/>
      <c r="D83" s="175"/>
      <c r="E83" s="77"/>
      <c r="F83" s="62">
        <v>5</v>
      </c>
      <c r="G83" s="115" t="s">
        <v>219</v>
      </c>
      <c r="H83" s="218">
        <v>16</v>
      </c>
      <c r="I83" s="273"/>
      <c r="J83" s="207">
        <v>4.71</v>
      </c>
      <c r="K83" s="207">
        <v>12</v>
      </c>
      <c r="L83" s="225">
        <v>0.22</v>
      </c>
      <c r="M83" s="226"/>
      <c r="N83" s="155"/>
      <c r="O83" s="392" t="str">
        <f t="shared" si="62"/>
        <v>NO</v>
      </c>
      <c r="P83" s="297">
        <v>50</v>
      </c>
      <c r="Q83" s="64">
        <v>1.5</v>
      </c>
      <c r="R83" s="297">
        <v>4</v>
      </c>
      <c r="S83" s="80">
        <v>4</v>
      </c>
      <c r="T83" s="297">
        <v>115</v>
      </c>
      <c r="U83" s="183">
        <v>75</v>
      </c>
      <c r="V83" s="100">
        <v>27.5</v>
      </c>
      <c r="W83" s="30">
        <f t="shared" si="63"/>
        <v>75</v>
      </c>
      <c r="X83" s="146">
        <f t="shared" si="64"/>
        <v>235.5</v>
      </c>
      <c r="Y83" s="147">
        <f t="shared" si="65"/>
        <v>0.9235294117647059</v>
      </c>
      <c r="Z83" s="211">
        <f t="shared" si="66"/>
        <v>168.46908088235293</v>
      </c>
      <c r="AA83" s="132">
        <f t="shared" si="67"/>
        <v>1</v>
      </c>
      <c r="AB83" s="128">
        <f t="shared" si="68"/>
        <v>79.2</v>
      </c>
      <c r="AC83" s="227">
        <v>17.2</v>
      </c>
      <c r="AD83" s="52">
        <f t="shared" si="69"/>
        <v>27.38372093023256</v>
      </c>
      <c r="AE83" s="34">
        <v>30</v>
      </c>
      <c r="AF83" s="34">
        <v>1.6</v>
      </c>
      <c r="AG83" s="226">
        <v>29</v>
      </c>
      <c r="AH83" s="226">
        <v>0</v>
      </c>
      <c r="AI83" s="112">
        <f t="shared" si="70"/>
        <v>394.75</v>
      </c>
      <c r="AJ83" s="183">
        <v>80</v>
      </c>
      <c r="AK83" s="124">
        <f t="shared" si="71"/>
        <v>1</v>
      </c>
      <c r="AL83" s="52">
        <f t="shared" si="72"/>
        <v>500</v>
      </c>
      <c r="AM83" s="52">
        <f t="shared" si="73"/>
        <v>1273.7</v>
      </c>
      <c r="AN83" s="52">
        <f t="shared" si="74"/>
        <v>552.65</v>
      </c>
      <c r="AO83" s="30">
        <f t="shared" si="75"/>
        <v>120.404453125</v>
      </c>
      <c r="AP83" s="128">
        <f t="shared" si="76"/>
        <v>17.513375</v>
      </c>
      <c r="AQ83" s="91" t="str">
        <f t="shared" si="77"/>
        <v>OK</v>
      </c>
      <c r="AR83" s="120">
        <f t="shared" si="78"/>
        <v>207.25</v>
      </c>
      <c r="AS83" s="52">
        <f t="shared" si="79"/>
        <v>17.270833333333332</v>
      </c>
      <c r="AT83" s="85">
        <f t="shared" si="80"/>
        <v>500</v>
      </c>
      <c r="AU83" s="85">
        <f t="shared" si="81"/>
        <v>41.666666666666664</v>
      </c>
      <c r="AV83" s="31">
        <v>103</v>
      </c>
      <c r="AW83" s="63">
        <f t="shared" si="82"/>
        <v>19.5916015625</v>
      </c>
      <c r="AX83" s="119">
        <v>75.4</v>
      </c>
      <c r="AY83" s="227">
        <v>0</v>
      </c>
      <c r="AZ83" s="437">
        <f t="shared" si="83"/>
        <v>3.538235294117647</v>
      </c>
      <c r="BA83" s="67">
        <v>317</v>
      </c>
      <c r="BB83" s="131">
        <f t="shared" si="84"/>
        <v>0.8928378850670613</v>
      </c>
      <c r="BC83" s="63">
        <f t="shared" si="85"/>
        <v>0.6998839555232242</v>
      </c>
      <c r="BD83" s="130">
        <f t="shared" si="86"/>
        <v>0.9166666666666667</v>
      </c>
      <c r="BE83" s="91" t="str">
        <f t="shared" si="87"/>
        <v>OK</v>
      </c>
      <c r="BF83" s="91" t="str">
        <f t="shared" si="88"/>
        <v>OK</v>
      </c>
    </row>
    <row r="84" spans="1:58" ht="11.25">
      <c r="A84" s="174"/>
      <c r="B84" s="254">
        <v>14</v>
      </c>
      <c r="C84" s="507">
        <f>B84*V84*$H84/1000</f>
        <v>3.36</v>
      </c>
      <c r="D84" s="54"/>
      <c r="E84" s="76" t="s">
        <v>220</v>
      </c>
      <c r="F84" s="438">
        <v>2</v>
      </c>
      <c r="G84" s="179" t="s">
        <v>73</v>
      </c>
      <c r="H84" s="139">
        <v>12</v>
      </c>
      <c r="I84" s="271"/>
      <c r="J84" s="140">
        <v>3.54</v>
      </c>
      <c r="K84" s="140">
        <v>9.87</v>
      </c>
      <c r="L84" s="230">
        <v>0.19</v>
      </c>
      <c r="M84" s="248"/>
      <c r="N84" s="154"/>
      <c r="O84" s="208" t="str">
        <f t="shared" si="62"/>
        <v>NO</v>
      </c>
      <c r="P84" s="4">
        <v>50</v>
      </c>
      <c r="Q84" s="6">
        <v>1.5</v>
      </c>
      <c r="R84" s="4">
        <v>4</v>
      </c>
      <c r="S84" s="140">
        <v>4</v>
      </c>
      <c r="T84" s="4">
        <v>115</v>
      </c>
      <c r="U84" s="24">
        <v>81</v>
      </c>
      <c r="V84" s="140">
        <v>20</v>
      </c>
      <c r="W84" s="23">
        <f t="shared" si="63"/>
        <v>60</v>
      </c>
      <c r="X84" s="27">
        <f t="shared" si="64"/>
        <v>177</v>
      </c>
      <c r="Y84" s="28">
        <f t="shared" si="65"/>
        <v>0.8676470588235294</v>
      </c>
      <c r="Z84" s="102">
        <f t="shared" si="66"/>
        <v>112.85311764705881</v>
      </c>
      <c r="AA84" s="162">
        <f t="shared" si="67"/>
        <v>1</v>
      </c>
      <c r="AB84" s="209">
        <f t="shared" si="68"/>
        <v>56.25899999999999</v>
      </c>
      <c r="AC84" s="6">
        <v>17.2</v>
      </c>
      <c r="AD84" s="143">
        <f t="shared" si="69"/>
        <v>20.58139534883721</v>
      </c>
      <c r="AE84" s="4">
        <v>30</v>
      </c>
      <c r="AF84" s="4">
        <v>1.6</v>
      </c>
      <c r="AG84" s="141">
        <v>29</v>
      </c>
      <c r="AH84" s="141">
        <v>0</v>
      </c>
      <c r="AI84" s="144">
        <f t="shared" si="70"/>
        <v>421.05</v>
      </c>
      <c r="AJ84" s="24">
        <v>80</v>
      </c>
      <c r="AK84" s="23">
        <f t="shared" si="71"/>
        <v>1</v>
      </c>
      <c r="AL84" s="143">
        <f t="shared" si="72"/>
        <v>540</v>
      </c>
      <c r="AM84" s="143">
        <f t="shared" si="73"/>
        <v>1369.26</v>
      </c>
      <c r="AN84" s="143">
        <f t="shared" si="74"/>
        <v>589.47</v>
      </c>
      <c r="AO84" s="142">
        <f t="shared" si="75"/>
        <v>68.463</v>
      </c>
      <c r="AP84" s="51">
        <f t="shared" si="76"/>
        <v>13.6926</v>
      </c>
      <c r="AQ84" s="90" t="str">
        <f t="shared" si="77"/>
        <v>OK</v>
      </c>
      <c r="AR84" s="103">
        <f t="shared" si="78"/>
        <v>218.55</v>
      </c>
      <c r="AS84" s="235">
        <f t="shared" si="79"/>
        <v>18.212500000000002</v>
      </c>
      <c r="AT84" s="143">
        <f t="shared" si="80"/>
        <v>540</v>
      </c>
      <c r="AU84" s="143">
        <f t="shared" si="81"/>
        <v>45</v>
      </c>
      <c r="AV84" s="24">
        <v>53.8</v>
      </c>
      <c r="AW84" s="68">
        <f t="shared" si="82"/>
        <v>10.9275</v>
      </c>
      <c r="AX84" s="118">
        <v>46.9</v>
      </c>
      <c r="AY84" s="50">
        <v>0</v>
      </c>
      <c r="AZ84" s="237">
        <f t="shared" si="83"/>
        <v>3.5661764705882355</v>
      </c>
      <c r="BA84" s="66">
        <v>180</v>
      </c>
      <c r="BB84" s="162">
        <f t="shared" si="84"/>
        <v>0.5042815023714909</v>
      </c>
      <c r="BC84" s="68">
        <f t="shared" si="85"/>
        <v>0.3724137931034483</v>
      </c>
      <c r="BD84" s="102">
        <f t="shared" si="86"/>
        <v>0.6666666666666666</v>
      </c>
      <c r="BE84" s="90" t="str">
        <f t="shared" si="87"/>
        <v>OK</v>
      </c>
      <c r="BF84" s="90" t="str">
        <f t="shared" si="88"/>
        <v>OK</v>
      </c>
    </row>
    <row r="85" spans="2:58" ht="11.25">
      <c r="B85" s="119"/>
      <c r="C85" s="508"/>
      <c r="D85" s="54"/>
      <c r="E85" s="76" t="s">
        <v>221</v>
      </c>
      <c r="F85" s="79" t="s">
        <v>215</v>
      </c>
      <c r="G85" s="223" t="s">
        <v>73</v>
      </c>
      <c r="H85" s="223">
        <v>12</v>
      </c>
      <c r="I85" s="272"/>
      <c r="J85" s="29">
        <v>3.54</v>
      </c>
      <c r="K85" s="207">
        <v>9.87</v>
      </c>
      <c r="L85" s="225">
        <v>0.19</v>
      </c>
      <c r="M85" s="226"/>
      <c r="N85" s="155"/>
      <c r="O85" s="157" t="str">
        <f t="shared" si="62"/>
        <v>NO</v>
      </c>
      <c r="P85" s="34">
        <v>50</v>
      </c>
      <c r="Q85" s="33">
        <v>1.5</v>
      </c>
      <c r="R85" s="34">
        <v>4</v>
      </c>
      <c r="S85" s="29">
        <v>4</v>
      </c>
      <c r="T85" s="34">
        <v>115</v>
      </c>
      <c r="U85" s="81">
        <v>82.5</v>
      </c>
      <c r="V85" s="29">
        <v>20</v>
      </c>
      <c r="W85" s="30">
        <f t="shared" si="63"/>
        <v>60</v>
      </c>
      <c r="X85" s="146">
        <f t="shared" si="64"/>
        <v>177</v>
      </c>
      <c r="Y85" s="147">
        <f t="shared" si="65"/>
        <v>0.8676470588235294</v>
      </c>
      <c r="Z85" s="130">
        <f t="shared" si="66"/>
        <v>112.85311764705881</v>
      </c>
      <c r="AA85" s="131">
        <f t="shared" si="67"/>
        <v>1</v>
      </c>
      <c r="AB85" s="128">
        <f t="shared" si="68"/>
        <v>56.25899999999999</v>
      </c>
      <c r="AC85" s="227">
        <v>17.2</v>
      </c>
      <c r="AD85" s="52">
        <f t="shared" si="69"/>
        <v>20.58139534883721</v>
      </c>
      <c r="AE85" s="34">
        <v>30</v>
      </c>
      <c r="AF85" s="34">
        <v>1.6</v>
      </c>
      <c r="AG85" s="226">
        <v>29</v>
      </c>
      <c r="AH85" s="226">
        <v>0</v>
      </c>
      <c r="AI85" s="112">
        <f t="shared" si="70"/>
        <v>428.625</v>
      </c>
      <c r="AJ85" s="31">
        <v>80</v>
      </c>
      <c r="AK85" s="30">
        <f t="shared" si="71"/>
        <v>1</v>
      </c>
      <c r="AL85" s="52">
        <f t="shared" si="72"/>
        <v>550</v>
      </c>
      <c r="AM85" s="52">
        <f t="shared" si="73"/>
        <v>1394.35</v>
      </c>
      <c r="AN85" s="52">
        <f t="shared" si="74"/>
        <v>600.0749999999999</v>
      </c>
      <c r="AO85" s="30">
        <f t="shared" si="75"/>
        <v>69.7175</v>
      </c>
      <c r="AP85" s="128">
        <f t="shared" si="76"/>
        <v>13.9435</v>
      </c>
      <c r="AQ85" s="91" t="str">
        <f t="shared" si="77"/>
        <v>OK</v>
      </c>
      <c r="AR85" s="120">
        <f t="shared" si="78"/>
        <v>222.375</v>
      </c>
      <c r="AS85" s="213">
        <f t="shared" si="79"/>
        <v>18.53125</v>
      </c>
      <c r="AT85" s="52">
        <f t="shared" si="80"/>
        <v>550</v>
      </c>
      <c r="AU85" s="52">
        <f t="shared" si="81"/>
        <v>45.833333333333336</v>
      </c>
      <c r="AV85" s="81">
        <v>53.8</v>
      </c>
      <c r="AW85" s="88">
        <f t="shared" si="82"/>
        <v>11.11875</v>
      </c>
      <c r="AX85" s="119">
        <v>46.9</v>
      </c>
      <c r="AY85" s="69">
        <v>0</v>
      </c>
      <c r="AZ85" s="437">
        <f t="shared" si="83"/>
        <v>3.5661764705882355</v>
      </c>
      <c r="BA85" s="87">
        <v>180</v>
      </c>
      <c r="BB85" s="131">
        <f t="shared" si="84"/>
        <v>0.5131072939366748</v>
      </c>
      <c r="BC85" s="63">
        <f t="shared" si="85"/>
        <v>0.37931034482758624</v>
      </c>
      <c r="BD85" s="130">
        <f t="shared" si="86"/>
        <v>0.6666666666666666</v>
      </c>
      <c r="BE85" s="91" t="str">
        <f t="shared" si="87"/>
        <v>OK</v>
      </c>
      <c r="BF85" s="91" t="str">
        <f t="shared" si="88"/>
        <v>OK</v>
      </c>
    </row>
    <row r="86" spans="1:58" s="174" customFormat="1" ht="12" thickBot="1">
      <c r="A86" s="8"/>
      <c r="B86" s="381"/>
      <c r="C86" s="500"/>
      <c r="D86" s="175"/>
      <c r="E86" s="77"/>
      <c r="F86" s="304">
        <v>5</v>
      </c>
      <c r="G86" s="218" t="s">
        <v>73</v>
      </c>
      <c r="H86" s="153">
        <v>12</v>
      </c>
      <c r="I86" s="273"/>
      <c r="J86" s="100">
        <v>3.54</v>
      </c>
      <c r="K86" s="100">
        <v>9.87</v>
      </c>
      <c r="L86" s="116">
        <v>0.19</v>
      </c>
      <c r="M86" s="183"/>
      <c r="N86" s="156"/>
      <c r="O86" s="158" t="str">
        <f t="shared" si="62"/>
        <v>NO</v>
      </c>
      <c r="P86" s="109">
        <v>50</v>
      </c>
      <c r="Q86" s="95">
        <v>1.5</v>
      </c>
      <c r="R86" s="109">
        <v>4</v>
      </c>
      <c r="S86" s="100">
        <v>4</v>
      </c>
      <c r="T86" s="109">
        <v>115</v>
      </c>
      <c r="U86" s="108">
        <v>75</v>
      </c>
      <c r="V86" s="100">
        <v>20</v>
      </c>
      <c r="W86" s="107">
        <f t="shared" si="63"/>
        <v>60</v>
      </c>
      <c r="X86" s="105">
        <f t="shared" si="64"/>
        <v>177</v>
      </c>
      <c r="Y86" s="117">
        <f t="shared" si="65"/>
        <v>0.8676470588235294</v>
      </c>
      <c r="Z86" s="113">
        <f t="shared" si="66"/>
        <v>112.85311764705881</v>
      </c>
      <c r="AA86" s="164">
        <f t="shared" si="67"/>
        <v>1</v>
      </c>
      <c r="AB86" s="129">
        <f t="shared" si="68"/>
        <v>56.25899999999999</v>
      </c>
      <c r="AC86" s="127">
        <v>17.2</v>
      </c>
      <c r="AD86" s="106">
        <f t="shared" si="69"/>
        <v>20.58139534883721</v>
      </c>
      <c r="AE86" s="109">
        <v>30</v>
      </c>
      <c r="AF86" s="109">
        <v>1.6</v>
      </c>
      <c r="AG86" s="183">
        <v>29</v>
      </c>
      <c r="AH86" s="183">
        <v>0</v>
      </c>
      <c r="AI86" s="133">
        <f t="shared" si="70"/>
        <v>390.75</v>
      </c>
      <c r="AJ86" s="108">
        <v>80</v>
      </c>
      <c r="AK86" s="107">
        <f t="shared" si="71"/>
        <v>1</v>
      </c>
      <c r="AL86" s="106">
        <f t="shared" si="72"/>
        <v>500</v>
      </c>
      <c r="AM86" s="106">
        <f t="shared" si="73"/>
        <v>1268.9</v>
      </c>
      <c r="AN86" s="106">
        <f t="shared" si="74"/>
        <v>547.05</v>
      </c>
      <c r="AO86" s="107">
        <f t="shared" si="75"/>
        <v>63.445</v>
      </c>
      <c r="AP86" s="129">
        <f t="shared" si="76"/>
        <v>12.689</v>
      </c>
      <c r="AQ86" s="92" t="str">
        <f t="shared" si="77"/>
        <v>OK</v>
      </c>
      <c r="AR86" s="104">
        <f t="shared" si="78"/>
        <v>203.25</v>
      </c>
      <c r="AS86" s="221">
        <f t="shared" si="79"/>
        <v>16.9375</v>
      </c>
      <c r="AT86" s="106">
        <f t="shared" si="80"/>
        <v>500</v>
      </c>
      <c r="AU86" s="106">
        <f t="shared" si="81"/>
        <v>41.666666666666664</v>
      </c>
      <c r="AV86" s="108">
        <v>53.8</v>
      </c>
      <c r="AW86" s="111">
        <f t="shared" si="82"/>
        <v>10.1625</v>
      </c>
      <c r="AX86" s="165">
        <v>46.9</v>
      </c>
      <c r="AY86" s="228">
        <v>0</v>
      </c>
      <c r="AZ86" s="240">
        <f t="shared" si="83"/>
        <v>3.5661764705882355</v>
      </c>
      <c r="BA86" s="110">
        <v>180</v>
      </c>
      <c r="BB86" s="164">
        <f t="shared" si="84"/>
        <v>0.468978336110755</v>
      </c>
      <c r="BC86" s="111">
        <f t="shared" si="85"/>
        <v>0.34482758620689646</v>
      </c>
      <c r="BD86" s="113">
        <f t="shared" si="86"/>
        <v>0.6666666666666666</v>
      </c>
      <c r="BE86" s="92" t="str">
        <f t="shared" si="87"/>
        <v>OK</v>
      </c>
      <c r="BF86" s="92" t="str">
        <f t="shared" si="88"/>
        <v>OK</v>
      </c>
    </row>
    <row r="88" spans="2:12" ht="12" thickBot="1">
      <c r="B88" s="13"/>
      <c r="C88" s="318"/>
      <c r="E88" s="276"/>
      <c r="F88" s="277" t="s">
        <v>120</v>
      </c>
      <c r="G88" s="278"/>
      <c r="H88" s="278"/>
      <c r="I88" s="279" t="s">
        <v>121</v>
      </c>
      <c r="J88" s="279"/>
      <c r="K88" s="280" t="s">
        <v>122</v>
      </c>
      <c r="L88" s="167"/>
    </row>
    <row r="89" spans="2:12" ht="12" thickTop="1">
      <c r="B89" s="13"/>
      <c r="C89" s="318"/>
      <c r="E89" s="241"/>
      <c r="H89" s="8" t="s">
        <v>21</v>
      </c>
      <c r="J89" s="281"/>
      <c r="K89" s="167"/>
      <c r="L89" s="167"/>
    </row>
    <row r="90" spans="1:12" ht="11.25">
      <c r="A90" s="167"/>
      <c r="B90" s="13"/>
      <c r="C90" s="318"/>
      <c r="E90" s="276"/>
      <c r="F90" s="8"/>
      <c r="J90" s="13"/>
      <c r="K90" s="10"/>
      <c r="L90" s="13"/>
    </row>
    <row r="91" spans="1:2" ht="12" thickBot="1">
      <c r="A91" s="13"/>
      <c r="B91" s="36"/>
    </row>
    <row r="92" spans="2:58" ht="12" thickBot="1">
      <c r="B92" s="138"/>
      <c r="C92" s="502"/>
      <c r="D92" s="54"/>
      <c r="E92" s="121" t="s">
        <v>192</v>
      </c>
      <c r="F92" s="418" t="s">
        <v>222</v>
      </c>
      <c r="G92" s="99"/>
      <c r="H92" s="99"/>
      <c r="I92" s="99"/>
      <c r="J92" s="99"/>
      <c r="K92" s="101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122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122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122"/>
    </row>
    <row r="93" spans="2:58" ht="11.25">
      <c r="B93" s="446" t="s">
        <v>244</v>
      </c>
      <c r="C93" s="497" t="s">
        <v>56</v>
      </c>
      <c r="D93" s="54"/>
      <c r="E93" s="76" t="s">
        <v>124</v>
      </c>
      <c r="F93" s="56" t="s">
        <v>124</v>
      </c>
      <c r="G93" s="6" t="s">
        <v>58</v>
      </c>
      <c r="H93" s="6"/>
      <c r="I93" s="6"/>
      <c r="J93" s="6"/>
      <c r="K93" s="6"/>
      <c r="L93" s="6"/>
      <c r="M93" s="6"/>
      <c r="N93" s="6"/>
      <c r="O93" s="6"/>
      <c r="P93" s="3"/>
      <c r="Q93" s="38" t="s">
        <v>34</v>
      </c>
      <c r="R93" s="70"/>
      <c r="S93" s="26" t="s">
        <v>61</v>
      </c>
      <c r="T93" s="50"/>
      <c r="U93" s="5" t="s">
        <v>25</v>
      </c>
      <c r="V93" s="4"/>
      <c r="W93" s="4"/>
      <c r="X93" s="14" t="s">
        <v>49</v>
      </c>
      <c r="Y93" s="7"/>
      <c r="Z93" s="37"/>
      <c r="AA93" s="163" t="s">
        <v>96</v>
      </c>
      <c r="AB93" s="159"/>
      <c r="AC93" s="38" t="s">
        <v>17</v>
      </c>
      <c r="AD93" s="4"/>
      <c r="AE93" s="15" t="s">
        <v>7</v>
      </c>
      <c r="AF93" s="15" t="s">
        <v>7</v>
      </c>
      <c r="AG93" s="259" t="s">
        <v>7</v>
      </c>
      <c r="AH93" s="14" t="s">
        <v>7</v>
      </c>
      <c r="AI93" s="15" t="s">
        <v>7</v>
      </c>
      <c r="AJ93" s="45" t="s">
        <v>8</v>
      </c>
      <c r="AK93" s="98" t="s">
        <v>8</v>
      </c>
      <c r="AL93" s="43" t="s">
        <v>8</v>
      </c>
      <c r="AM93" s="43" t="s">
        <v>97</v>
      </c>
      <c r="AN93" s="12" t="s">
        <v>98</v>
      </c>
      <c r="AO93" s="3"/>
      <c r="AP93" s="7"/>
      <c r="AQ93" s="39" t="s">
        <v>50</v>
      </c>
      <c r="AR93" s="42" t="s">
        <v>7</v>
      </c>
      <c r="AS93" s="14" t="s">
        <v>7</v>
      </c>
      <c r="AT93" s="15" t="s">
        <v>8</v>
      </c>
      <c r="AU93" s="15" t="s">
        <v>8</v>
      </c>
      <c r="AV93" s="42" t="s">
        <v>34</v>
      </c>
      <c r="AW93" s="41" t="s">
        <v>14</v>
      </c>
      <c r="AX93" s="41" t="s">
        <v>51</v>
      </c>
      <c r="AY93" s="15" t="s">
        <v>9</v>
      </c>
      <c r="AZ93" s="15" t="s">
        <v>10</v>
      </c>
      <c r="BA93" s="17" t="s">
        <v>29</v>
      </c>
      <c r="BB93" s="42" t="s">
        <v>41</v>
      </c>
      <c r="BC93" s="41" t="s">
        <v>42</v>
      </c>
      <c r="BD93" s="57" t="s">
        <v>134</v>
      </c>
      <c r="BE93" s="55" t="s">
        <v>7</v>
      </c>
      <c r="BF93" s="56" t="s">
        <v>8</v>
      </c>
    </row>
    <row r="94" spans="1:58" ht="11.25">
      <c r="A94" s="54"/>
      <c r="B94" s="93"/>
      <c r="C94" s="498"/>
      <c r="D94" s="54"/>
      <c r="E94" s="76"/>
      <c r="F94" s="44"/>
      <c r="G94" s="64"/>
      <c r="H94" s="64"/>
      <c r="I94" s="64"/>
      <c r="J94" s="64"/>
      <c r="K94" s="64"/>
      <c r="L94" s="64"/>
      <c r="M94" s="64"/>
      <c r="N94" s="64"/>
      <c r="O94" s="64"/>
      <c r="P94" s="69"/>
      <c r="Q94" s="14" t="s">
        <v>1</v>
      </c>
      <c r="R94" s="71"/>
      <c r="S94" s="72" t="s">
        <v>62</v>
      </c>
      <c r="T94" s="72" t="s">
        <v>63</v>
      </c>
      <c r="U94" s="12" t="s">
        <v>26</v>
      </c>
      <c r="V94" s="11"/>
      <c r="W94" s="11"/>
      <c r="Y94" s="16"/>
      <c r="Z94" s="41" t="s">
        <v>51</v>
      </c>
      <c r="AA94" s="160" t="s">
        <v>74</v>
      </c>
      <c r="AB94" s="41" t="s">
        <v>52</v>
      </c>
      <c r="AC94" s="14" t="s">
        <v>18</v>
      </c>
      <c r="AD94" s="15" t="s">
        <v>30</v>
      </c>
      <c r="AE94" s="15" t="s">
        <v>70</v>
      </c>
      <c r="AF94" s="15" t="s">
        <v>34</v>
      </c>
      <c r="AG94" s="15" t="s">
        <v>61</v>
      </c>
      <c r="AH94" s="98" t="s">
        <v>87</v>
      </c>
      <c r="AI94" s="15" t="s">
        <v>62</v>
      </c>
      <c r="AJ94" s="10"/>
      <c r="AK94" s="98" t="s">
        <v>67</v>
      </c>
      <c r="AL94" s="43" t="s">
        <v>81</v>
      </c>
      <c r="AM94" s="43" t="s">
        <v>15</v>
      </c>
      <c r="AN94" s="12"/>
      <c r="AO94" s="42" t="s">
        <v>14</v>
      </c>
      <c r="AP94" s="17" t="s">
        <v>36</v>
      </c>
      <c r="AQ94" s="44" t="s">
        <v>37</v>
      </c>
      <c r="AR94" s="42" t="s">
        <v>85</v>
      </c>
      <c r="AS94" s="13"/>
      <c r="AT94" s="11"/>
      <c r="AU94" s="11"/>
      <c r="AV94" s="42" t="s">
        <v>33</v>
      </c>
      <c r="AW94" s="17" t="s">
        <v>85</v>
      </c>
      <c r="AX94" s="40" t="s">
        <v>34</v>
      </c>
      <c r="AY94" s="10"/>
      <c r="AZ94" s="13"/>
      <c r="BA94" s="17" t="s">
        <v>46</v>
      </c>
      <c r="BB94" s="42" t="s">
        <v>13</v>
      </c>
      <c r="BC94" s="41"/>
      <c r="BD94" s="54"/>
      <c r="BE94" s="58" t="s">
        <v>39</v>
      </c>
      <c r="BF94" s="44" t="s">
        <v>39</v>
      </c>
    </row>
    <row r="95" spans="1:58" ht="11.25">
      <c r="A95" s="54"/>
      <c r="B95" s="93"/>
      <c r="C95" s="498"/>
      <c r="D95" s="54"/>
      <c r="E95" s="76"/>
      <c r="F95" s="44"/>
      <c r="G95" s="73" t="s">
        <v>59</v>
      </c>
      <c r="H95" s="10" t="s">
        <v>56</v>
      </c>
      <c r="I95" s="10" t="s">
        <v>88</v>
      </c>
      <c r="J95" s="15" t="s">
        <v>47</v>
      </c>
      <c r="K95" s="15" t="s">
        <v>0</v>
      </c>
      <c r="L95" s="15" t="s">
        <v>2</v>
      </c>
      <c r="M95" s="15" t="s">
        <v>90</v>
      </c>
      <c r="N95" s="15" t="s">
        <v>91</v>
      </c>
      <c r="O95" s="15" t="s">
        <v>95</v>
      </c>
      <c r="P95" s="15" t="s">
        <v>3</v>
      </c>
      <c r="Q95" s="14" t="s">
        <v>19</v>
      </c>
      <c r="R95" s="15" t="s">
        <v>4</v>
      </c>
      <c r="S95" s="15" t="s">
        <v>19</v>
      </c>
      <c r="T95" s="15" t="s">
        <v>56</v>
      </c>
      <c r="U95" s="12" t="s">
        <v>16</v>
      </c>
      <c r="V95" s="15" t="s">
        <v>21</v>
      </c>
      <c r="W95" s="15" t="s">
        <v>48</v>
      </c>
      <c r="X95" s="14" t="s">
        <v>6</v>
      </c>
      <c r="Y95" s="17" t="s">
        <v>5</v>
      </c>
      <c r="Z95" s="41" t="s">
        <v>53</v>
      </c>
      <c r="AA95" s="161"/>
      <c r="AB95" s="41"/>
      <c r="AC95" s="14" t="s">
        <v>32</v>
      </c>
      <c r="AD95" s="15" t="s">
        <v>31</v>
      </c>
      <c r="AE95" s="15" t="s">
        <v>71</v>
      </c>
      <c r="AF95" s="15" t="s">
        <v>72</v>
      </c>
      <c r="AG95" s="15"/>
      <c r="AH95" s="98" t="s">
        <v>86</v>
      </c>
      <c r="AI95" s="15"/>
      <c r="AJ95" s="11"/>
      <c r="AK95" s="98" t="s">
        <v>27</v>
      </c>
      <c r="AL95" s="43" t="s">
        <v>82</v>
      </c>
      <c r="AM95" s="15" t="s">
        <v>83</v>
      </c>
      <c r="AN95" s="42" t="s">
        <v>83</v>
      </c>
      <c r="AO95" s="42"/>
      <c r="AP95" s="17"/>
      <c r="AQ95" s="41" t="s">
        <v>54</v>
      </c>
      <c r="AR95" s="134"/>
      <c r="AS95" s="11"/>
      <c r="AT95" s="11"/>
      <c r="AU95" s="11"/>
      <c r="AV95" s="11"/>
      <c r="AW95" s="16"/>
      <c r="AX95" s="40" t="s">
        <v>84</v>
      </c>
      <c r="AY95" s="10"/>
      <c r="AZ95" s="11"/>
      <c r="BA95" s="54"/>
      <c r="BB95" s="10"/>
      <c r="BC95" s="16"/>
      <c r="BD95" s="93"/>
      <c r="BE95" s="93"/>
      <c r="BF95" s="93"/>
    </row>
    <row r="96" spans="2:58" ht="12" thickBot="1">
      <c r="B96" s="381"/>
      <c r="C96" s="514" t="s">
        <v>246</v>
      </c>
      <c r="D96" s="54"/>
      <c r="E96" s="77"/>
      <c r="F96" s="62"/>
      <c r="G96" s="18" t="s">
        <v>60</v>
      </c>
      <c r="H96" s="18" t="s">
        <v>11</v>
      </c>
      <c r="I96" s="18"/>
      <c r="J96" s="1" t="s">
        <v>43</v>
      </c>
      <c r="K96" s="1" t="s">
        <v>40</v>
      </c>
      <c r="L96" s="1" t="s">
        <v>40</v>
      </c>
      <c r="M96" s="1"/>
      <c r="N96" s="1"/>
      <c r="O96" s="1"/>
      <c r="P96" s="1" t="s">
        <v>44</v>
      </c>
      <c r="Q96" s="20" t="s">
        <v>40</v>
      </c>
      <c r="R96" s="1" t="s">
        <v>44</v>
      </c>
      <c r="S96" s="1" t="s">
        <v>40</v>
      </c>
      <c r="T96" s="1" t="s">
        <v>57</v>
      </c>
      <c r="U96" s="19" t="s">
        <v>40</v>
      </c>
      <c r="V96" s="1" t="s">
        <v>12</v>
      </c>
      <c r="W96" s="1" t="s">
        <v>40</v>
      </c>
      <c r="X96" s="20" t="s">
        <v>35</v>
      </c>
      <c r="Y96" s="21" t="s">
        <v>40</v>
      </c>
      <c r="Z96" s="46" t="s">
        <v>45</v>
      </c>
      <c r="AA96" s="285"/>
      <c r="AB96" s="46" t="s">
        <v>35</v>
      </c>
      <c r="AC96" s="20" t="s">
        <v>24</v>
      </c>
      <c r="AD96" s="1" t="s">
        <v>22</v>
      </c>
      <c r="AE96" s="1" t="s">
        <v>28</v>
      </c>
      <c r="AF96" s="1" t="s">
        <v>28</v>
      </c>
      <c r="AG96" s="2" t="s">
        <v>28</v>
      </c>
      <c r="AH96" s="2" t="s">
        <v>11</v>
      </c>
      <c r="AI96" s="1" t="s">
        <v>11</v>
      </c>
      <c r="AJ96" s="47" t="s">
        <v>28</v>
      </c>
      <c r="AK96" s="286"/>
      <c r="AL96" s="48" t="s">
        <v>11</v>
      </c>
      <c r="AM96" s="354" t="s">
        <v>11</v>
      </c>
      <c r="AN96" s="309" t="s">
        <v>11</v>
      </c>
      <c r="AO96" s="2" t="s">
        <v>45</v>
      </c>
      <c r="AP96" s="21" t="s">
        <v>35</v>
      </c>
      <c r="AQ96" s="49" t="s">
        <v>23</v>
      </c>
      <c r="AR96" s="135" t="s">
        <v>11</v>
      </c>
      <c r="AS96" s="59" t="s">
        <v>20</v>
      </c>
      <c r="AT96" s="60" t="s">
        <v>11</v>
      </c>
      <c r="AU96" s="60" t="s">
        <v>20</v>
      </c>
      <c r="AV96" s="47" t="s">
        <v>38</v>
      </c>
      <c r="AW96" s="46" t="s">
        <v>45</v>
      </c>
      <c r="AX96" s="46" t="s">
        <v>45</v>
      </c>
      <c r="AY96" s="1" t="s">
        <v>40</v>
      </c>
      <c r="AZ96" s="1" t="s">
        <v>40</v>
      </c>
      <c r="BA96" s="49" t="s">
        <v>38</v>
      </c>
      <c r="BB96" s="2" t="s">
        <v>40</v>
      </c>
      <c r="BC96" s="46" t="s">
        <v>40</v>
      </c>
      <c r="BD96" s="136" t="s">
        <v>40</v>
      </c>
      <c r="BE96" s="61" t="s">
        <v>23</v>
      </c>
      <c r="BF96" s="61" t="s">
        <v>23</v>
      </c>
    </row>
    <row r="97" spans="2:58" ht="11.25">
      <c r="B97" s="118">
        <v>1</v>
      </c>
      <c r="C97" s="507">
        <f aca="true" t="shared" si="89" ref="C97:C114">B97*V97*$H97/1000</f>
        <v>0.21</v>
      </c>
      <c r="D97" s="54"/>
      <c r="E97" s="371" t="s">
        <v>223</v>
      </c>
      <c r="F97" s="421" t="s">
        <v>183</v>
      </c>
      <c r="G97" s="123" t="s">
        <v>73</v>
      </c>
      <c r="H97" s="287">
        <v>12</v>
      </c>
      <c r="I97" s="287"/>
      <c r="J97" s="22">
        <v>3.54</v>
      </c>
      <c r="K97" s="22">
        <v>9.87</v>
      </c>
      <c r="L97" s="25">
        <v>0.19</v>
      </c>
      <c r="M97" s="25"/>
      <c r="N97" s="25"/>
      <c r="O97" s="372" t="str">
        <f aca="true" t="shared" si="90" ref="O97:O114">IF(M97&lt;1.1*((N97*29000)/P97)^0.5,1,"NO")</f>
        <v>NO</v>
      </c>
      <c r="P97" s="4">
        <v>50</v>
      </c>
      <c r="Q97" s="6">
        <v>1.5</v>
      </c>
      <c r="R97" s="4">
        <v>4</v>
      </c>
      <c r="S97" s="140">
        <v>4</v>
      </c>
      <c r="T97" s="4">
        <v>115</v>
      </c>
      <c r="U97" s="141">
        <v>37.5</v>
      </c>
      <c r="V97" s="140">
        <v>17.5</v>
      </c>
      <c r="W97" s="142">
        <f aca="true" t="shared" si="91" ref="W97:W112">MIN((V97/4)*12,U97)</f>
        <v>37.5</v>
      </c>
      <c r="X97" s="440">
        <f aca="true" t="shared" si="92" ref="X97:X112">J97*P97</f>
        <v>177</v>
      </c>
      <c r="Y97" s="441">
        <f aca="true" t="shared" si="93" ref="Y97:Y112">(J97*P97)/(0.85*R97*W97)</f>
        <v>1.388235294117647</v>
      </c>
      <c r="Z97" s="442">
        <f aca="true" t="shared" si="94" ref="Z97:Z112">(0.9*((J97*P97*(K97/2))+(0.85*R97*Y97*W97*(S97-(Y97/2)))))/12</f>
        <v>109.39771323529409</v>
      </c>
      <c r="AA97" s="162">
        <f aca="true" t="shared" si="95" ref="AA97:AA114">IF(I97="v",0.9,1)</f>
        <v>1</v>
      </c>
      <c r="AB97" s="51">
        <f aca="true" t="shared" si="96" ref="AB97:AB114">IF(O97="NO",AA97*0.6*P97*K97*L97,AA97*0.6*P97*K97*L97*O97)</f>
        <v>56.25899999999999</v>
      </c>
      <c r="AC97" s="6">
        <v>17.2</v>
      </c>
      <c r="AD97" s="143">
        <f aca="true" t="shared" si="97" ref="AD97:AD112">(X97/AC97)*2</f>
        <v>20.58139534883721</v>
      </c>
      <c r="AE97" s="4">
        <v>30</v>
      </c>
      <c r="AF97" s="4">
        <v>1.6</v>
      </c>
      <c r="AG97" s="141">
        <v>29</v>
      </c>
      <c r="AH97" s="141">
        <v>520</v>
      </c>
      <c r="AI97" s="144">
        <f aca="true" t="shared" si="98" ref="AI97:AI114">((AE97+AG97+AF97)*(U97/12))+H97+AH97</f>
        <v>721.375</v>
      </c>
      <c r="AJ97" s="141">
        <v>80</v>
      </c>
      <c r="AK97" s="23">
        <f aca="true" t="shared" si="99" ref="AK97:AK114">IF(0.25+(15/($F$8*V97*(U97/12))^0.5)&gt;0.5,IF(0.25+(15/($F$8*V97*(U97/12))^0.5)&gt;1,1,0.25+(15/($F$8*V97*(U97/12))^0.5)),0.5)</f>
        <v>1</v>
      </c>
      <c r="AL97" s="143">
        <f aca="true" t="shared" si="100" ref="AL97:AL114">(AJ97*AK97)*(U97/12)</f>
        <v>250</v>
      </c>
      <c r="AM97" s="143">
        <f aca="true" t="shared" si="101" ref="AM97:AM114">(1.2*AI97)+(1.6*AL97)</f>
        <v>1265.65</v>
      </c>
      <c r="AN97" s="290">
        <f aca="true" t="shared" si="102" ref="AN97:AN114">1.4*AI97</f>
        <v>1009.925</v>
      </c>
      <c r="AO97" s="23">
        <f aca="true" t="shared" si="103" ref="AO97:AO114">MAX((AN97*V97*V97)/8000,(AM97*V97*V97)/8000)</f>
        <v>48.4506640625</v>
      </c>
      <c r="AP97" s="128">
        <f aca="true" t="shared" si="104" ref="AP97:AP114">MAX(AN97*V97/2000,AM97*V97/2000)</f>
        <v>11.0744375</v>
      </c>
      <c r="AQ97" s="443" t="str">
        <f aca="true" t="shared" si="105" ref="AQ97:AQ114">IF(AND(Z97&gt;AO97,AB97&gt;AP97),"OK","NG")</f>
        <v>OK</v>
      </c>
      <c r="AR97" s="444">
        <f aca="true" t="shared" si="106" ref="AR97:AR114">((AF97+AG97)*(U97/12))+H97</f>
        <v>107.625</v>
      </c>
      <c r="AS97" s="145">
        <f aca="true" t="shared" si="107" ref="AS97:AS114">AR97/12</f>
        <v>8.96875</v>
      </c>
      <c r="AT97" s="143">
        <f aca="true" t="shared" si="108" ref="AT97:AT114">AJ97*(U97/12)</f>
        <v>250</v>
      </c>
      <c r="AU97" s="143">
        <f aca="true" t="shared" si="109" ref="AU97:AU114">AT97/12</f>
        <v>20.833333333333332</v>
      </c>
      <c r="AV97" s="141">
        <v>53.8</v>
      </c>
      <c r="AW97" s="445">
        <f aca="true" t="shared" si="110" ref="AW97:AW114">(AR97*V97*V97)/8000</f>
        <v>4.12001953125</v>
      </c>
      <c r="AX97" s="446"/>
      <c r="AY97" s="447">
        <v>0</v>
      </c>
      <c r="AZ97" s="448">
        <f aca="true" t="shared" si="111" ref="AZ97:AZ112">S97-Y97/2</f>
        <v>3.3058823529411763</v>
      </c>
      <c r="BA97" s="7">
        <v>180</v>
      </c>
      <c r="BB97" s="449">
        <f aca="true" t="shared" si="112" ref="BB97:BB114">(5*(AS97)*((V97*12)^4))/(384*29000000*AV97)</f>
        <v>0.1455685659916397</v>
      </c>
      <c r="BC97" s="445">
        <f aca="true" t="shared" si="113" ref="BC97:BC114">(5*(AU97)*((V97*12)^4))/(384*29000000*BA97)</f>
        <v>0.1010658001077586</v>
      </c>
      <c r="BD97" s="102">
        <f aca="true" t="shared" si="114" ref="BD97:BD114">(V97/400)*12</f>
        <v>0.5249999999999999</v>
      </c>
      <c r="BE97" s="450" t="str">
        <f aca="true" t="shared" si="115" ref="BE97:BE114">IF(BB97&gt;BD97,"NG","OK")</f>
        <v>OK</v>
      </c>
      <c r="BF97" s="450" t="str">
        <f aca="true" t="shared" si="116" ref="BF97:BF114">IF(BC97&gt;BD97,"NG","OK")</f>
        <v>OK</v>
      </c>
    </row>
    <row r="98" spans="2:58" ht="11.25">
      <c r="B98" s="119">
        <v>1</v>
      </c>
      <c r="C98" s="507">
        <f t="shared" si="89"/>
        <v>0.21</v>
      </c>
      <c r="D98" s="54"/>
      <c r="E98" s="451" t="s">
        <v>174</v>
      </c>
      <c r="F98" s="79" t="s">
        <v>108</v>
      </c>
      <c r="G98" s="249" t="s">
        <v>73</v>
      </c>
      <c r="H98" s="258">
        <v>12</v>
      </c>
      <c r="I98" s="258"/>
      <c r="J98" s="29">
        <v>3.54</v>
      </c>
      <c r="K98" s="29">
        <v>9.87</v>
      </c>
      <c r="L98" s="32">
        <v>0.19</v>
      </c>
      <c r="M98" s="32"/>
      <c r="N98" s="32"/>
      <c r="O98" s="157" t="str">
        <f t="shared" si="90"/>
        <v>NO</v>
      </c>
      <c r="P98" s="34">
        <v>50</v>
      </c>
      <c r="Q98" s="33">
        <v>1.5</v>
      </c>
      <c r="R98" s="34">
        <v>4</v>
      </c>
      <c r="S98" s="29">
        <v>4</v>
      </c>
      <c r="T98" s="34">
        <v>115</v>
      </c>
      <c r="U98" s="31">
        <v>37.5</v>
      </c>
      <c r="V98" s="29">
        <v>17.5</v>
      </c>
      <c r="W98" s="30">
        <f t="shared" si="91"/>
        <v>37.5</v>
      </c>
      <c r="X98" s="146">
        <f t="shared" si="92"/>
        <v>177</v>
      </c>
      <c r="Y98" s="147">
        <f t="shared" si="93"/>
        <v>1.388235294117647</v>
      </c>
      <c r="Z98" s="294">
        <f t="shared" si="94"/>
        <v>109.39771323529409</v>
      </c>
      <c r="AA98" s="131">
        <f t="shared" si="95"/>
        <v>1</v>
      </c>
      <c r="AB98" s="128">
        <f t="shared" si="96"/>
        <v>56.25899999999999</v>
      </c>
      <c r="AC98" s="33">
        <v>17.2</v>
      </c>
      <c r="AD98" s="52">
        <f t="shared" si="97"/>
        <v>20.58139534883721</v>
      </c>
      <c r="AE98" s="34">
        <v>30</v>
      </c>
      <c r="AF98" s="34">
        <v>1.6</v>
      </c>
      <c r="AG98" s="31">
        <v>29</v>
      </c>
      <c r="AH98" s="31">
        <v>520</v>
      </c>
      <c r="AI98" s="112">
        <f t="shared" si="98"/>
        <v>721.375</v>
      </c>
      <c r="AJ98" s="31">
        <v>80</v>
      </c>
      <c r="AK98" s="30">
        <f t="shared" si="99"/>
        <v>1</v>
      </c>
      <c r="AL98" s="52">
        <f t="shared" si="100"/>
        <v>250</v>
      </c>
      <c r="AM98" s="52">
        <f t="shared" si="101"/>
        <v>1265.65</v>
      </c>
      <c r="AN98" s="85">
        <f t="shared" si="102"/>
        <v>1009.925</v>
      </c>
      <c r="AO98" s="30">
        <f t="shared" si="103"/>
        <v>48.4506640625</v>
      </c>
      <c r="AP98" s="128">
        <f t="shared" si="104"/>
        <v>11.0744375</v>
      </c>
      <c r="AQ98" s="293" t="str">
        <f t="shared" si="105"/>
        <v>OK</v>
      </c>
      <c r="AR98" s="120">
        <f t="shared" si="106"/>
        <v>107.625</v>
      </c>
      <c r="AS98" s="255">
        <f t="shared" si="107"/>
        <v>8.96875</v>
      </c>
      <c r="AT98" s="52">
        <f t="shared" si="108"/>
        <v>250</v>
      </c>
      <c r="AU98" s="52">
        <f t="shared" si="109"/>
        <v>20.833333333333332</v>
      </c>
      <c r="AV98" s="31">
        <v>53.8</v>
      </c>
      <c r="AW98" s="63">
        <f t="shared" si="110"/>
        <v>4.12001953125</v>
      </c>
      <c r="AX98" s="119"/>
      <c r="AY98" s="125">
        <v>0</v>
      </c>
      <c r="AZ98" s="256">
        <f t="shared" si="111"/>
        <v>3.3058823529411763</v>
      </c>
      <c r="BA98" s="67">
        <v>180</v>
      </c>
      <c r="BB98" s="257">
        <f t="shared" si="112"/>
        <v>0.1455685659916397</v>
      </c>
      <c r="BC98" s="63">
        <f t="shared" si="113"/>
        <v>0.1010658001077586</v>
      </c>
      <c r="BD98" s="130">
        <f t="shared" si="114"/>
        <v>0.5249999999999999</v>
      </c>
      <c r="BE98" s="91" t="str">
        <f t="shared" si="115"/>
        <v>OK</v>
      </c>
      <c r="BF98" s="91" t="str">
        <f t="shared" si="116"/>
        <v>OK</v>
      </c>
    </row>
    <row r="99" spans="2:58" ht="11.25">
      <c r="B99" s="119">
        <v>1</v>
      </c>
      <c r="C99" s="507">
        <f t="shared" si="89"/>
        <v>0.21</v>
      </c>
      <c r="D99" s="54"/>
      <c r="E99" s="357" t="s">
        <v>224</v>
      </c>
      <c r="F99" s="79" t="s">
        <v>162</v>
      </c>
      <c r="G99" s="249" t="s">
        <v>73</v>
      </c>
      <c r="H99" s="258">
        <v>12</v>
      </c>
      <c r="I99" s="258"/>
      <c r="J99" s="29">
        <v>3.54</v>
      </c>
      <c r="K99" s="29">
        <v>9.87</v>
      </c>
      <c r="L99" s="32">
        <v>0.19</v>
      </c>
      <c r="M99" s="32"/>
      <c r="N99" s="32"/>
      <c r="O99" s="157" t="str">
        <f t="shared" si="90"/>
        <v>NO</v>
      </c>
      <c r="P99" s="34">
        <v>50</v>
      </c>
      <c r="Q99" s="33">
        <v>1.5</v>
      </c>
      <c r="R99" s="34">
        <v>4</v>
      </c>
      <c r="S99" s="29">
        <v>4</v>
      </c>
      <c r="T99" s="34">
        <v>115</v>
      </c>
      <c r="U99" s="31">
        <v>37.5</v>
      </c>
      <c r="V99" s="29">
        <v>17.5</v>
      </c>
      <c r="W99" s="30">
        <f t="shared" si="91"/>
        <v>37.5</v>
      </c>
      <c r="X99" s="146">
        <f t="shared" si="92"/>
        <v>177</v>
      </c>
      <c r="Y99" s="147">
        <f t="shared" si="93"/>
        <v>1.388235294117647</v>
      </c>
      <c r="Z99" s="294">
        <f t="shared" si="94"/>
        <v>109.39771323529409</v>
      </c>
      <c r="AA99" s="131">
        <f t="shared" si="95"/>
        <v>1</v>
      </c>
      <c r="AB99" s="128">
        <f t="shared" si="96"/>
        <v>56.25899999999999</v>
      </c>
      <c r="AC99" s="33">
        <v>17.2</v>
      </c>
      <c r="AD99" s="52">
        <f t="shared" si="97"/>
        <v>20.58139534883721</v>
      </c>
      <c r="AE99" s="34">
        <v>30</v>
      </c>
      <c r="AF99" s="34">
        <v>1.6</v>
      </c>
      <c r="AG99" s="31">
        <v>29</v>
      </c>
      <c r="AH99" s="31">
        <v>520</v>
      </c>
      <c r="AI99" s="112">
        <f t="shared" si="98"/>
        <v>721.375</v>
      </c>
      <c r="AJ99" s="31">
        <v>80</v>
      </c>
      <c r="AK99" s="30">
        <f t="shared" si="99"/>
        <v>1</v>
      </c>
      <c r="AL99" s="52">
        <f t="shared" si="100"/>
        <v>250</v>
      </c>
      <c r="AM99" s="52">
        <f t="shared" si="101"/>
        <v>1265.65</v>
      </c>
      <c r="AN99" s="85">
        <f t="shared" si="102"/>
        <v>1009.925</v>
      </c>
      <c r="AO99" s="30">
        <f t="shared" si="103"/>
        <v>48.4506640625</v>
      </c>
      <c r="AP99" s="128">
        <f t="shared" si="104"/>
        <v>11.0744375</v>
      </c>
      <c r="AQ99" s="293" t="str">
        <f t="shared" si="105"/>
        <v>OK</v>
      </c>
      <c r="AR99" s="120">
        <f t="shared" si="106"/>
        <v>107.625</v>
      </c>
      <c r="AS99" s="255">
        <f t="shared" si="107"/>
        <v>8.96875</v>
      </c>
      <c r="AT99" s="52">
        <f t="shared" si="108"/>
        <v>250</v>
      </c>
      <c r="AU99" s="52">
        <f t="shared" si="109"/>
        <v>20.833333333333332</v>
      </c>
      <c r="AV99" s="31">
        <v>53.8</v>
      </c>
      <c r="AW99" s="63">
        <f t="shared" si="110"/>
        <v>4.12001953125</v>
      </c>
      <c r="AX99" s="119"/>
      <c r="AY99" s="125">
        <v>0</v>
      </c>
      <c r="AZ99" s="256">
        <f t="shared" si="111"/>
        <v>3.3058823529411763</v>
      </c>
      <c r="BA99" s="67">
        <v>180</v>
      </c>
      <c r="BB99" s="257">
        <f t="shared" si="112"/>
        <v>0.1455685659916397</v>
      </c>
      <c r="BC99" s="63">
        <f t="shared" si="113"/>
        <v>0.1010658001077586</v>
      </c>
      <c r="BD99" s="130">
        <f t="shared" si="114"/>
        <v>0.5249999999999999</v>
      </c>
      <c r="BE99" s="91" t="str">
        <f t="shared" si="115"/>
        <v>OK</v>
      </c>
      <c r="BF99" s="91" t="str">
        <f t="shared" si="116"/>
        <v>OK</v>
      </c>
    </row>
    <row r="100" spans="2:58" ht="12" thickBot="1">
      <c r="B100" s="165">
        <v>1</v>
      </c>
      <c r="C100" s="504">
        <f t="shared" si="89"/>
        <v>0.21</v>
      </c>
      <c r="D100" s="54"/>
      <c r="E100" s="355" t="s">
        <v>178</v>
      </c>
      <c r="F100" s="438" t="s">
        <v>225</v>
      </c>
      <c r="G100" s="152" t="s">
        <v>73</v>
      </c>
      <c r="H100" s="434">
        <v>12</v>
      </c>
      <c r="I100" s="434"/>
      <c r="J100" s="74">
        <v>3.54</v>
      </c>
      <c r="K100" s="74">
        <v>9.87</v>
      </c>
      <c r="L100" s="452">
        <v>0.19</v>
      </c>
      <c r="M100" s="452"/>
      <c r="N100" s="452"/>
      <c r="O100" s="392" t="str">
        <f t="shared" si="90"/>
        <v>NO</v>
      </c>
      <c r="P100" s="297">
        <v>50</v>
      </c>
      <c r="Q100" s="64">
        <v>1.5</v>
      </c>
      <c r="R100" s="297">
        <v>4</v>
      </c>
      <c r="S100" s="80">
        <v>4</v>
      </c>
      <c r="T100" s="297">
        <v>115</v>
      </c>
      <c r="U100" s="81">
        <v>37.5</v>
      </c>
      <c r="V100" s="80">
        <v>17.5</v>
      </c>
      <c r="W100" s="82">
        <f t="shared" si="91"/>
        <v>37.5</v>
      </c>
      <c r="X100" s="83">
        <f t="shared" si="92"/>
        <v>177</v>
      </c>
      <c r="Y100" s="84">
        <f t="shared" si="93"/>
        <v>1.388235294117647</v>
      </c>
      <c r="Z100" s="303">
        <f t="shared" si="94"/>
        <v>109.39771323529409</v>
      </c>
      <c r="AA100" s="132">
        <f t="shared" si="95"/>
        <v>1</v>
      </c>
      <c r="AB100" s="453">
        <f t="shared" si="96"/>
        <v>56.25899999999999</v>
      </c>
      <c r="AC100" s="64">
        <v>17.2</v>
      </c>
      <c r="AD100" s="85">
        <f t="shared" si="97"/>
        <v>20.58139534883721</v>
      </c>
      <c r="AE100" s="297">
        <v>30</v>
      </c>
      <c r="AF100" s="297">
        <v>1.6</v>
      </c>
      <c r="AG100" s="81">
        <v>29</v>
      </c>
      <c r="AH100" s="81">
        <v>520</v>
      </c>
      <c r="AI100" s="454">
        <f t="shared" si="98"/>
        <v>721.375</v>
      </c>
      <c r="AJ100" s="81">
        <v>80</v>
      </c>
      <c r="AK100" s="124">
        <f t="shared" si="99"/>
        <v>1</v>
      </c>
      <c r="AL100" s="85">
        <f t="shared" si="100"/>
        <v>250</v>
      </c>
      <c r="AM100" s="85">
        <f t="shared" si="101"/>
        <v>1265.65</v>
      </c>
      <c r="AN100" s="252">
        <f t="shared" si="102"/>
        <v>1009.925</v>
      </c>
      <c r="AO100" s="124">
        <f t="shared" si="103"/>
        <v>48.4506640625</v>
      </c>
      <c r="AP100" s="129">
        <f t="shared" si="104"/>
        <v>11.0744375</v>
      </c>
      <c r="AQ100" s="299" t="str">
        <f t="shared" si="105"/>
        <v>OK</v>
      </c>
      <c r="AR100" s="114">
        <f t="shared" si="106"/>
        <v>107.625</v>
      </c>
      <c r="AS100" s="298">
        <f t="shared" si="107"/>
        <v>8.96875</v>
      </c>
      <c r="AT100" s="85">
        <f t="shared" si="108"/>
        <v>250</v>
      </c>
      <c r="AU100" s="85">
        <f t="shared" si="109"/>
        <v>20.833333333333332</v>
      </c>
      <c r="AV100" s="81">
        <v>53.8</v>
      </c>
      <c r="AW100" s="88">
        <f t="shared" si="110"/>
        <v>4.12001953125</v>
      </c>
      <c r="AX100" s="254"/>
      <c r="AY100" s="300">
        <v>0</v>
      </c>
      <c r="AZ100" s="301">
        <f t="shared" si="111"/>
        <v>3.3058823529411763</v>
      </c>
      <c r="BA100" s="87">
        <v>180</v>
      </c>
      <c r="BB100" s="302">
        <f t="shared" si="112"/>
        <v>0.1455685659916397</v>
      </c>
      <c r="BC100" s="88">
        <f t="shared" si="113"/>
        <v>0.1010658001077586</v>
      </c>
      <c r="BD100" s="363">
        <f t="shared" si="114"/>
        <v>0.5249999999999999</v>
      </c>
      <c r="BE100" s="89" t="str">
        <f t="shared" si="115"/>
        <v>OK</v>
      </c>
      <c r="BF100" s="89" t="str">
        <f t="shared" si="116"/>
        <v>OK</v>
      </c>
    </row>
    <row r="101" spans="2:58" ht="11.25">
      <c r="B101" s="254">
        <v>1</v>
      </c>
      <c r="C101" s="507">
        <f t="shared" si="89"/>
        <v>0.385</v>
      </c>
      <c r="D101" s="54"/>
      <c r="E101" s="371" t="s">
        <v>183</v>
      </c>
      <c r="F101" s="421" t="s">
        <v>226</v>
      </c>
      <c r="G101" s="123" t="s">
        <v>219</v>
      </c>
      <c r="H101" s="287">
        <v>14</v>
      </c>
      <c r="I101" s="287" t="s">
        <v>89</v>
      </c>
      <c r="J101" s="22">
        <v>4.16</v>
      </c>
      <c r="K101" s="22">
        <v>11.9</v>
      </c>
      <c r="L101" s="25">
        <v>0.2</v>
      </c>
      <c r="M101" s="22">
        <v>54.3</v>
      </c>
      <c r="N101" s="154">
        <f>IF(M101&lt;260,5,"NO")</f>
        <v>5</v>
      </c>
      <c r="O101" s="372">
        <f t="shared" si="90"/>
        <v>1</v>
      </c>
      <c r="P101" s="4">
        <v>50</v>
      </c>
      <c r="Q101" s="6">
        <v>1.5</v>
      </c>
      <c r="R101" s="4">
        <v>4</v>
      </c>
      <c r="S101" s="140">
        <v>4</v>
      </c>
      <c r="T101" s="4">
        <v>115</v>
      </c>
      <c r="U101" s="141">
        <v>37.5</v>
      </c>
      <c r="V101" s="140">
        <v>27.5</v>
      </c>
      <c r="W101" s="142">
        <f t="shared" si="91"/>
        <v>37.5</v>
      </c>
      <c r="X101" s="440">
        <f t="shared" si="92"/>
        <v>208</v>
      </c>
      <c r="Y101" s="441">
        <f t="shared" si="93"/>
        <v>1.6313725490196078</v>
      </c>
      <c r="Z101" s="442">
        <f t="shared" si="94"/>
        <v>142.49529411764706</v>
      </c>
      <c r="AA101" s="162">
        <f t="shared" si="95"/>
        <v>0.9</v>
      </c>
      <c r="AB101" s="51">
        <f t="shared" si="96"/>
        <v>64.26</v>
      </c>
      <c r="AC101" s="6">
        <v>17.2</v>
      </c>
      <c r="AD101" s="143">
        <f t="shared" si="97"/>
        <v>24.186046511627907</v>
      </c>
      <c r="AE101" s="4">
        <v>30</v>
      </c>
      <c r="AF101" s="4">
        <v>1.6</v>
      </c>
      <c r="AG101" s="141">
        <v>29</v>
      </c>
      <c r="AH101" s="141">
        <v>520</v>
      </c>
      <c r="AI101" s="144">
        <f t="shared" si="98"/>
        <v>723.375</v>
      </c>
      <c r="AJ101" s="141">
        <v>80</v>
      </c>
      <c r="AK101" s="23">
        <f t="shared" si="99"/>
        <v>1</v>
      </c>
      <c r="AL101" s="143">
        <f t="shared" si="100"/>
        <v>250</v>
      </c>
      <c r="AM101" s="143">
        <f t="shared" si="101"/>
        <v>1268.05</v>
      </c>
      <c r="AN101" s="290">
        <f t="shared" si="102"/>
        <v>1012.7249999999999</v>
      </c>
      <c r="AO101" s="23">
        <f t="shared" si="103"/>
        <v>119.8703515625</v>
      </c>
      <c r="AP101" s="86">
        <f t="shared" si="104"/>
        <v>17.4356875</v>
      </c>
      <c r="AQ101" s="443" t="str">
        <f t="shared" si="105"/>
        <v>OK</v>
      </c>
      <c r="AR101" s="444">
        <f t="shared" si="106"/>
        <v>109.625</v>
      </c>
      <c r="AS101" s="145">
        <f t="shared" si="107"/>
        <v>9.135416666666666</v>
      </c>
      <c r="AT101" s="143">
        <f t="shared" si="108"/>
        <v>250</v>
      </c>
      <c r="AU101" s="143">
        <f t="shared" si="109"/>
        <v>20.833333333333332</v>
      </c>
      <c r="AV101" s="141">
        <v>88.6</v>
      </c>
      <c r="AW101" s="445">
        <f t="shared" si="110"/>
        <v>10.36298828125</v>
      </c>
      <c r="AX101" s="446"/>
      <c r="AY101" s="447">
        <v>0</v>
      </c>
      <c r="AZ101" s="448">
        <f t="shared" si="111"/>
        <v>3.1843137254901963</v>
      </c>
      <c r="BA101" s="7">
        <v>262</v>
      </c>
      <c r="BB101" s="449">
        <f t="shared" si="112"/>
        <v>0.5490238109228444</v>
      </c>
      <c r="BC101" s="445">
        <f t="shared" si="113"/>
        <v>0.42340307996347726</v>
      </c>
      <c r="BD101" s="102">
        <f t="shared" si="114"/>
        <v>0.8250000000000001</v>
      </c>
      <c r="BE101" s="450" t="str">
        <f t="shared" si="115"/>
        <v>OK</v>
      </c>
      <c r="BF101" s="450" t="str">
        <f t="shared" si="116"/>
        <v>OK</v>
      </c>
    </row>
    <row r="102" spans="2:58" ht="11.25">
      <c r="B102" s="119">
        <v>1</v>
      </c>
      <c r="C102" s="507">
        <f t="shared" si="89"/>
        <v>0.385</v>
      </c>
      <c r="D102" s="54"/>
      <c r="E102" s="451" t="s">
        <v>227</v>
      </c>
      <c r="F102" s="79" t="s">
        <v>174</v>
      </c>
      <c r="G102" s="249" t="s">
        <v>219</v>
      </c>
      <c r="H102" s="258">
        <v>14</v>
      </c>
      <c r="I102" s="258" t="s">
        <v>89</v>
      </c>
      <c r="J102" s="29">
        <v>4.16</v>
      </c>
      <c r="K102" s="29">
        <v>11.9</v>
      </c>
      <c r="L102" s="32">
        <v>0.2</v>
      </c>
      <c r="M102" s="29">
        <v>54.3</v>
      </c>
      <c r="N102" s="155">
        <f>IF(M102&lt;260,5,"NO")</f>
        <v>5</v>
      </c>
      <c r="O102" s="157">
        <f t="shared" si="90"/>
        <v>1</v>
      </c>
      <c r="P102" s="34">
        <v>50</v>
      </c>
      <c r="Q102" s="33">
        <v>1.5</v>
      </c>
      <c r="R102" s="34">
        <v>4</v>
      </c>
      <c r="S102" s="29">
        <v>4</v>
      </c>
      <c r="T102" s="34">
        <v>115</v>
      </c>
      <c r="U102" s="31">
        <v>37.5</v>
      </c>
      <c r="V102" s="29">
        <v>27.5</v>
      </c>
      <c r="W102" s="30">
        <f t="shared" si="91"/>
        <v>37.5</v>
      </c>
      <c r="X102" s="146">
        <f t="shared" si="92"/>
        <v>208</v>
      </c>
      <c r="Y102" s="147">
        <f t="shared" si="93"/>
        <v>1.6313725490196078</v>
      </c>
      <c r="Z102" s="294">
        <f t="shared" si="94"/>
        <v>142.49529411764706</v>
      </c>
      <c r="AA102" s="131">
        <f t="shared" si="95"/>
        <v>0.9</v>
      </c>
      <c r="AB102" s="128">
        <f t="shared" si="96"/>
        <v>64.26</v>
      </c>
      <c r="AC102" s="33">
        <v>17.2</v>
      </c>
      <c r="AD102" s="52">
        <f t="shared" si="97"/>
        <v>24.186046511627907</v>
      </c>
      <c r="AE102" s="34">
        <v>30</v>
      </c>
      <c r="AF102" s="34">
        <v>1.6</v>
      </c>
      <c r="AG102" s="31">
        <v>29</v>
      </c>
      <c r="AH102" s="31">
        <v>520</v>
      </c>
      <c r="AI102" s="112">
        <f t="shared" si="98"/>
        <v>723.375</v>
      </c>
      <c r="AJ102" s="31">
        <v>80</v>
      </c>
      <c r="AK102" s="30">
        <f t="shared" si="99"/>
        <v>1</v>
      </c>
      <c r="AL102" s="52">
        <f t="shared" si="100"/>
        <v>250</v>
      </c>
      <c r="AM102" s="52">
        <f t="shared" si="101"/>
        <v>1268.05</v>
      </c>
      <c r="AN102" s="85">
        <f t="shared" si="102"/>
        <v>1012.7249999999999</v>
      </c>
      <c r="AO102" s="30">
        <f t="shared" si="103"/>
        <v>119.8703515625</v>
      </c>
      <c r="AP102" s="128">
        <f t="shared" si="104"/>
        <v>17.4356875</v>
      </c>
      <c r="AQ102" s="293" t="str">
        <f t="shared" si="105"/>
        <v>OK</v>
      </c>
      <c r="AR102" s="120">
        <f t="shared" si="106"/>
        <v>109.625</v>
      </c>
      <c r="AS102" s="255">
        <f>AR102/12</f>
        <v>9.135416666666666</v>
      </c>
      <c r="AT102" s="52">
        <f t="shared" si="108"/>
        <v>250</v>
      </c>
      <c r="AU102" s="52">
        <f>AT102/12</f>
        <v>20.833333333333332</v>
      </c>
      <c r="AV102" s="31">
        <v>88.6</v>
      </c>
      <c r="AW102" s="63">
        <f t="shared" si="110"/>
        <v>10.36298828125</v>
      </c>
      <c r="AX102" s="119"/>
      <c r="AY102" s="125">
        <v>0</v>
      </c>
      <c r="AZ102" s="256">
        <f t="shared" si="111"/>
        <v>3.1843137254901963</v>
      </c>
      <c r="BA102" s="67">
        <v>262</v>
      </c>
      <c r="BB102" s="257">
        <f t="shared" si="112"/>
        <v>0.5490238109228444</v>
      </c>
      <c r="BC102" s="63">
        <f t="shared" si="113"/>
        <v>0.42340307996347726</v>
      </c>
      <c r="BD102" s="130">
        <f t="shared" si="114"/>
        <v>0.8250000000000001</v>
      </c>
      <c r="BE102" s="91" t="str">
        <f t="shared" si="115"/>
        <v>OK</v>
      </c>
      <c r="BF102" s="91" t="str">
        <f t="shared" si="116"/>
        <v>OK</v>
      </c>
    </row>
    <row r="103" spans="2:58" ht="11.25">
      <c r="B103" s="119">
        <v>1</v>
      </c>
      <c r="C103" s="507">
        <f t="shared" si="89"/>
        <v>0.385</v>
      </c>
      <c r="D103" s="54"/>
      <c r="E103" s="357" t="s">
        <v>228</v>
      </c>
      <c r="F103" s="79" t="s">
        <v>165</v>
      </c>
      <c r="G103" s="249" t="s">
        <v>219</v>
      </c>
      <c r="H103" s="258">
        <v>14</v>
      </c>
      <c r="I103" s="258" t="s">
        <v>89</v>
      </c>
      <c r="J103" s="29">
        <v>4.16</v>
      </c>
      <c r="K103" s="29">
        <v>11.9</v>
      </c>
      <c r="L103" s="32">
        <v>0.2</v>
      </c>
      <c r="M103" s="29">
        <v>54.3</v>
      </c>
      <c r="N103" s="155">
        <f>IF(M103&lt;260,5,"NO")</f>
        <v>5</v>
      </c>
      <c r="O103" s="157">
        <f t="shared" si="90"/>
        <v>1</v>
      </c>
      <c r="P103" s="34">
        <v>50</v>
      </c>
      <c r="Q103" s="33">
        <v>1.5</v>
      </c>
      <c r="R103" s="34">
        <v>4</v>
      </c>
      <c r="S103" s="29">
        <v>4</v>
      </c>
      <c r="T103" s="34">
        <v>115</v>
      </c>
      <c r="U103" s="31">
        <v>37.5</v>
      </c>
      <c r="V103" s="29">
        <v>27.5</v>
      </c>
      <c r="W103" s="30">
        <f t="shared" si="91"/>
        <v>37.5</v>
      </c>
      <c r="X103" s="146">
        <f t="shared" si="92"/>
        <v>208</v>
      </c>
      <c r="Y103" s="147">
        <f t="shared" si="93"/>
        <v>1.6313725490196078</v>
      </c>
      <c r="Z103" s="294">
        <f t="shared" si="94"/>
        <v>142.49529411764706</v>
      </c>
      <c r="AA103" s="131">
        <f t="shared" si="95"/>
        <v>0.9</v>
      </c>
      <c r="AB103" s="128">
        <f t="shared" si="96"/>
        <v>64.26</v>
      </c>
      <c r="AC103" s="33">
        <v>17.2</v>
      </c>
      <c r="AD103" s="52">
        <f t="shared" si="97"/>
        <v>24.186046511627907</v>
      </c>
      <c r="AE103" s="34">
        <v>30</v>
      </c>
      <c r="AF103" s="34">
        <v>1.6</v>
      </c>
      <c r="AG103" s="31">
        <v>29</v>
      </c>
      <c r="AH103" s="31">
        <v>520</v>
      </c>
      <c r="AI103" s="112">
        <f t="shared" si="98"/>
        <v>723.375</v>
      </c>
      <c r="AJ103" s="31">
        <v>80</v>
      </c>
      <c r="AK103" s="30">
        <f t="shared" si="99"/>
        <v>1</v>
      </c>
      <c r="AL103" s="52">
        <f t="shared" si="100"/>
        <v>250</v>
      </c>
      <c r="AM103" s="52">
        <f t="shared" si="101"/>
        <v>1268.05</v>
      </c>
      <c r="AN103" s="85">
        <f t="shared" si="102"/>
        <v>1012.7249999999999</v>
      </c>
      <c r="AO103" s="30">
        <f t="shared" si="103"/>
        <v>119.8703515625</v>
      </c>
      <c r="AP103" s="128">
        <f t="shared" si="104"/>
        <v>17.4356875</v>
      </c>
      <c r="AQ103" s="293" t="str">
        <f t="shared" si="105"/>
        <v>OK</v>
      </c>
      <c r="AR103" s="120">
        <f t="shared" si="106"/>
        <v>109.625</v>
      </c>
      <c r="AS103" s="255">
        <f t="shared" si="107"/>
        <v>9.135416666666666</v>
      </c>
      <c r="AT103" s="52">
        <f t="shared" si="108"/>
        <v>250</v>
      </c>
      <c r="AU103" s="52">
        <f t="shared" si="109"/>
        <v>20.833333333333332</v>
      </c>
      <c r="AV103" s="31">
        <v>88.6</v>
      </c>
      <c r="AW103" s="63">
        <f t="shared" si="110"/>
        <v>10.36298828125</v>
      </c>
      <c r="AX103" s="119"/>
      <c r="AY103" s="125">
        <v>0</v>
      </c>
      <c r="AZ103" s="256">
        <f t="shared" si="111"/>
        <v>3.1843137254901963</v>
      </c>
      <c r="BA103" s="67">
        <v>262</v>
      </c>
      <c r="BB103" s="257">
        <f t="shared" si="112"/>
        <v>0.5490238109228444</v>
      </c>
      <c r="BC103" s="63">
        <f t="shared" si="113"/>
        <v>0.42340307996347726</v>
      </c>
      <c r="BD103" s="130">
        <f t="shared" si="114"/>
        <v>0.8250000000000001</v>
      </c>
      <c r="BE103" s="91" t="str">
        <f t="shared" si="115"/>
        <v>OK</v>
      </c>
      <c r="BF103" s="91" t="str">
        <f t="shared" si="116"/>
        <v>OK</v>
      </c>
    </row>
    <row r="104" spans="2:58" ht="12" thickBot="1">
      <c r="B104" s="165">
        <v>1</v>
      </c>
      <c r="C104" s="504">
        <f>B104*V104*$H104/1000</f>
        <v>0.385</v>
      </c>
      <c r="D104" s="54"/>
      <c r="E104" s="355" t="s">
        <v>173</v>
      </c>
      <c r="F104" s="438" t="s">
        <v>229</v>
      </c>
      <c r="G104" s="115" t="s">
        <v>219</v>
      </c>
      <c r="H104" s="434">
        <v>14</v>
      </c>
      <c r="I104" s="434" t="s">
        <v>89</v>
      </c>
      <c r="J104" s="74">
        <v>4.16</v>
      </c>
      <c r="K104" s="74">
        <v>11.9</v>
      </c>
      <c r="L104" s="452">
        <v>0.2</v>
      </c>
      <c r="M104" s="74">
        <v>54.3</v>
      </c>
      <c r="N104" s="435">
        <f>IF(M104&lt;260,5,"NO")</f>
        <v>5</v>
      </c>
      <c r="O104" s="392">
        <f t="shared" si="90"/>
        <v>1</v>
      </c>
      <c r="P104" s="297">
        <v>50</v>
      </c>
      <c r="Q104" s="64">
        <v>1.5</v>
      </c>
      <c r="R104" s="297">
        <v>4</v>
      </c>
      <c r="S104" s="80">
        <v>4</v>
      </c>
      <c r="T104" s="297">
        <v>115</v>
      </c>
      <c r="U104" s="81">
        <v>37.5</v>
      </c>
      <c r="V104" s="80">
        <v>27.5</v>
      </c>
      <c r="W104" s="82">
        <f t="shared" si="91"/>
        <v>37.5</v>
      </c>
      <c r="X104" s="83">
        <f t="shared" si="92"/>
        <v>208</v>
      </c>
      <c r="Y104" s="84">
        <f t="shared" si="93"/>
        <v>1.6313725490196078</v>
      </c>
      <c r="Z104" s="303">
        <f t="shared" si="94"/>
        <v>142.49529411764706</v>
      </c>
      <c r="AA104" s="132">
        <f t="shared" si="95"/>
        <v>0.9</v>
      </c>
      <c r="AB104" s="453">
        <f t="shared" si="96"/>
        <v>64.26</v>
      </c>
      <c r="AC104" s="64">
        <v>17.2</v>
      </c>
      <c r="AD104" s="85">
        <f t="shared" si="97"/>
        <v>24.186046511627907</v>
      </c>
      <c r="AE104" s="297">
        <v>30</v>
      </c>
      <c r="AF104" s="297">
        <v>1.6</v>
      </c>
      <c r="AG104" s="81">
        <v>29</v>
      </c>
      <c r="AH104" s="81">
        <v>520</v>
      </c>
      <c r="AI104" s="454">
        <f t="shared" si="98"/>
        <v>723.375</v>
      </c>
      <c r="AJ104" s="81">
        <v>80</v>
      </c>
      <c r="AK104" s="124">
        <f t="shared" si="99"/>
        <v>1</v>
      </c>
      <c r="AL104" s="85">
        <f t="shared" si="100"/>
        <v>250</v>
      </c>
      <c r="AM104" s="85">
        <f t="shared" si="101"/>
        <v>1268.05</v>
      </c>
      <c r="AN104" s="252">
        <f t="shared" si="102"/>
        <v>1012.7249999999999</v>
      </c>
      <c r="AO104" s="124">
        <f t="shared" si="103"/>
        <v>119.8703515625</v>
      </c>
      <c r="AP104" s="129">
        <f t="shared" si="104"/>
        <v>17.4356875</v>
      </c>
      <c r="AQ104" s="299" t="str">
        <f t="shared" si="105"/>
        <v>OK</v>
      </c>
      <c r="AR104" s="114">
        <f t="shared" si="106"/>
        <v>109.625</v>
      </c>
      <c r="AS104" s="298">
        <f t="shared" si="107"/>
        <v>9.135416666666666</v>
      </c>
      <c r="AT104" s="85">
        <f t="shared" si="108"/>
        <v>250</v>
      </c>
      <c r="AU104" s="85">
        <f t="shared" si="109"/>
        <v>20.833333333333332</v>
      </c>
      <c r="AV104" s="81">
        <v>88.6</v>
      </c>
      <c r="AW104" s="88">
        <f t="shared" si="110"/>
        <v>10.36298828125</v>
      </c>
      <c r="AX104" s="254"/>
      <c r="AY104" s="300">
        <v>0</v>
      </c>
      <c r="AZ104" s="301">
        <f t="shared" si="111"/>
        <v>3.1843137254901963</v>
      </c>
      <c r="BA104" s="87">
        <v>262</v>
      </c>
      <c r="BB104" s="302">
        <f t="shared" si="112"/>
        <v>0.5490238109228444</v>
      </c>
      <c r="BC104" s="88">
        <f t="shared" si="113"/>
        <v>0.42340307996347726</v>
      </c>
      <c r="BD104" s="363">
        <f t="shared" si="114"/>
        <v>0.8250000000000001</v>
      </c>
      <c r="BE104" s="89" t="str">
        <f t="shared" si="115"/>
        <v>OK</v>
      </c>
      <c r="BF104" s="89" t="str">
        <f t="shared" si="116"/>
        <v>OK</v>
      </c>
    </row>
    <row r="105" spans="2:58" ht="11.25">
      <c r="B105" s="254">
        <v>1</v>
      </c>
      <c r="C105" s="507">
        <f t="shared" si="89"/>
        <v>0.55</v>
      </c>
      <c r="D105" s="54"/>
      <c r="E105" s="371" t="s">
        <v>223</v>
      </c>
      <c r="F105" s="421" t="s">
        <v>230</v>
      </c>
      <c r="G105" s="123" t="s">
        <v>163</v>
      </c>
      <c r="H105" s="287">
        <v>22</v>
      </c>
      <c r="I105" s="287"/>
      <c r="J105" s="22">
        <v>6.49</v>
      </c>
      <c r="K105" s="22">
        <v>13.7</v>
      </c>
      <c r="L105" s="25">
        <v>0.23</v>
      </c>
      <c r="M105" s="140"/>
      <c r="N105" s="457"/>
      <c r="O105" s="372" t="str">
        <f t="shared" si="90"/>
        <v>NO</v>
      </c>
      <c r="P105" s="4">
        <v>50</v>
      </c>
      <c r="Q105" s="6">
        <v>1.5</v>
      </c>
      <c r="R105" s="4">
        <v>4</v>
      </c>
      <c r="S105" s="140">
        <v>4</v>
      </c>
      <c r="T105" s="4">
        <v>115</v>
      </c>
      <c r="U105" s="141">
        <v>105</v>
      </c>
      <c r="V105" s="140">
        <v>25</v>
      </c>
      <c r="W105" s="142">
        <f t="shared" si="91"/>
        <v>75</v>
      </c>
      <c r="X105" s="440">
        <f t="shared" si="92"/>
        <v>324.5</v>
      </c>
      <c r="Y105" s="441">
        <f t="shared" si="93"/>
        <v>1.272549019607843</v>
      </c>
      <c r="Z105" s="442">
        <f t="shared" si="94"/>
        <v>248.57654411764702</v>
      </c>
      <c r="AA105" s="162">
        <f t="shared" si="95"/>
        <v>1</v>
      </c>
      <c r="AB105" s="51">
        <f t="shared" si="96"/>
        <v>94.53</v>
      </c>
      <c r="AC105" s="6">
        <v>17.2</v>
      </c>
      <c r="AD105" s="143">
        <f t="shared" si="97"/>
        <v>37.73255813953489</v>
      </c>
      <c r="AE105" s="4">
        <v>30</v>
      </c>
      <c r="AF105" s="4">
        <v>1.6</v>
      </c>
      <c r="AG105" s="141">
        <v>29</v>
      </c>
      <c r="AH105" s="141">
        <v>520</v>
      </c>
      <c r="AI105" s="144">
        <f t="shared" si="98"/>
        <v>1072.25</v>
      </c>
      <c r="AJ105" s="141">
        <v>80</v>
      </c>
      <c r="AK105" s="23">
        <f t="shared" si="99"/>
        <v>0.9671371656006361</v>
      </c>
      <c r="AL105" s="143">
        <f t="shared" si="100"/>
        <v>676.9960159204453</v>
      </c>
      <c r="AM105" s="143">
        <f t="shared" si="101"/>
        <v>2369.8936254727123</v>
      </c>
      <c r="AN105" s="290">
        <f t="shared" si="102"/>
        <v>1501.1499999999999</v>
      </c>
      <c r="AO105" s="23">
        <f t="shared" si="103"/>
        <v>185.14793949005568</v>
      </c>
      <c r="AP105" s="86">
        <f t="shared" si="104"/>
        <v>29.623670318408905</v>
      </c>
      <c r="AQ105" s="443" t="str">
        <f t="shared" si="105"/>
        <v>OK</v>
      </c>
      <c r="AR105" s="444">
        <f t="shared" si="106"/>
        <v>289.75</v>
      </c>
      <c r="AS105" s="145">
        <f t="shared" si="107"/>
        <v>24.145833333333332</v>
      </c>
      <c r="AT105" s="143">
        <f t="shared" si="108"/>
        <v>700</v>
      </c>
      <c r="AU105" s="143">
        <f t="shared" si="109"/>
        <v>58.333333333333336</v>
      </c>
      <c r="AV105" s="141">
        <v>199</v>
      </c>
      <c r="AW105" s="445">
        <f t="shared" si="110"/>
        <v>22.63671875</v>
      </c>
      <c r="AX105" s="446"/>
      <c r="AY105" s="447">
        <v>0</v>
      </c>
      <c r="AZ105" s="448">
        <f t="shared" si="111"/>
        <v>3.3637254901960785</v>
      </c>
      <c r="BA105" s="7">
        <v>535</v>
      </c>
      <c r="BB105" s="449">
        <f t="shared" si="112"/>
        <v>0.4412806895468722</v>
      </c>
      <c r="BC105" s="445">
        <f t="shared" si="113"/>
        <v>0.39654165323880114</v>
      </c>
      <c r="BD105" s="102">
        <f t="shared" si="114"/>
        <v>0.75</v>
      </c>
      <c r="BE105" s="450" t="str">
        <f t="shared" si="115"/>
        <v>OK</v>
      </c>
      <c r="BF105" s="450" t="str">
        <f t="shared" si="116"/>
        <v>OK</v>
      </c>
    </row>
    <row r="106" spans="2:58" ht="11.25">
      <c r="B106" s="119">
        <v>1</v>
      </c>
      <c r="C106" s="512">
        <f t="shared" si="89"/>
        <v>0.55</v>
      </c>
      <c r="D106" s="54"/>
      <c r="E106" s="451" t="s">
        <v>108</v>
      </c>
      <c r="F106" s="79" t="s">
        <v>231</v>
      </c>
      <c r="G106" s="458" t="s">
        <v>163</v>
      </c>
      <c r="H106" s="295">
        <v>22</v>
      </c>
      <c r="I106" s="295"/>
      <c r="J106" s="80">
        <v>6.49</v>
      </c>
      <c r="K106" s="80">
        <v>13.7</v>
      </c>
      <c r="L106" s="296">
        <v>0.23</v>
      </c>
      <c r="M106" s="29"/>
      <c r="N106" s="155"/>
      <c r="O106" s="157" t="str">
        <f t="shared" si="90"/>
        <v>NO</v>
      </c>
      <c r="P106" s="34">
        <v>50</v>
      </c>
      <c r="Q106" s="33">
        <v>1.5</v>
      </c>
      <c r="R106" s="34">
        <v>4</v>
      </c>
      <c r="S106" s="29">
        <v>4</v>
      </c>
      <c r="T106" s="34">
        <v>115</v>
      </c>
      <c r="U106" s="31">
        <v>105</v>
      </c>
      <c r="V106" s="29">
        <v>25</v>
      </c>
      <c r="W106" s="30">
        <f t="shared" si="91"/>
        <v>75</v>
      </c>
      <c r="X106" s="146">
        <f t="shared" si="92"/>
        <v>324.5</v>
      </c>
      <c r="Y106" s="147">
        <f t="shared" si="93"/>
        <v>1.272549019607843</v>
      </c>
      <c r="Z106" s="294">
        <f t="shared" si="94"/>
        <v>248.57654411764702</v>
      </c>
      <c r="AA106" s="131">
        <f t="shared" si="95"/>
        <v>1</v>
      </c>
      <c r="AB106" s="128">
        <f t="shared" si="96"/>
        <v>94.53</v>
      </c>
      <c r="AC106" s="33">
        <v>17.2</v>
      </c>
      <c r="AD106" s="52">
        <f t="shared" si="97"/>
        <v>37.73255813953489</v>
      </c>
      <c r="AE106" s="34">
        <v>30</v>
      </c>
      <c r="AF106" s="34">
        <v>1.6</v>
      </c>
      <c r="AG106" s="31">
        <v>29</v>
      </c>
      <c r="AH106" s="31">
        <v>520</v>
      </c>
      <c r="AI106" s="112">
        <f t="shared" si="98"/>
        <v>1072.25</v>
      </c>
      <c r="AJ106" s="31">
        <v>80</v>
      </c>
      <c r="AK106" s="30">
        <f t="shared" si="99"/>
        <v>0.9671371656006361</v>
      </c>
      <c r="AL106" s="52">
        <f t="shared" si="100"/>
        <v>676.9960159204453</v>
      </c>
      <c r="AM106" s="52">
        <f t="shared" si="101"/>
        <v>2369.8936254727123</v>
      </c>
      <c r="AN106" s="85">
        <f t="shared" si="102"/>
        <v>1501.1499999999999</v>
      </c>
      <c r="AO106" s="30">
        <f t="shared" si="103"/>
        <v>185.14793949005568</v>
      </c>
      <c r="AP106" s="128">
        <f t="shared" si="104"/>
        <v>29.623670318408905</v>
      </c>
      <c r="AQ106" s="293" t="str">
        <f t="shared" si="105"/>
        <v>OK</v>
      </c>
      <c r="AR106" s="120">
        <f t="shared" si="106"/>
        <v>289.75</v>
      </c>
      <c r="AS106" s="255">
        <f t="shared" si="107"/>
        <v>24.145833333333332</v>
      </c>
      <c r="AT106" s="52">
        <f t="shared" si="108"/>
        <v>700</v>
      </c>
      <c r="AU106" s="52">
        <f t="shared" si="109"/>
        <v>58.333333333333336</v>
      </c>
      <c r="AV106" s="31">
        <v>199</v>
      </c>
      <c r="AW106" s="63">
        <f t="shared" si="110"/>
        <v>22.63671875</v>
      </c>
      <c r="AX106" s="119"/>
      <c r="AY106" s="125">
        <v>0</v>
      </c>
      <c r="AZ106" s="256">
        <f t="shared" si="111"/>
        <v>3.3637254901960785</v>
      </c>
      <c r="BA106" s="67">
        <v>535</v>
      </c>
      <c r="BB106" s="257">
        <f t="shared" si="112"/>
        <v>0.4412806895468722</v>
      </c>
      <c r="BC106" s="63">
        <f t="shared" si="113"/>
        <v>0.39654165323880114</v>
      </c>
      <c r="BD106" s="130">
        <f t="shared" si="114"/>
        <v>0.75</v>
      </c>
      <c r="BE106" s="91" t="str">
        <f t="shared" si="115"/>
        <v>OK</v>
      </c>
      <c r="BF106" s="91" t="str">
        <f t="shared" si="116"/>
        <v>OK</v>
      </c>
    </row>
    <row r="107" spans="2:58" ht="11.25">
      <c r="B107" s="254">
        <v>1</v>
      </c>
      <c r="C107" s="507">
        <f t="shared" si="89"/>
        <v>0.55</v>
      </c>
      <c r="D107" s="54"/>
      <c r="E107" s="451" t="s">
        <v>232</v>
      </c>
      <c r="F107" s="79" t="s">
        <v>224</v>
      </c>
      <c r="G107" s="458" t="s">
        <v>163</v>
      </c>
      <c r="H107" s="295">
        <v>22</v>
      </c>
      <c r="I107" s="295"/>
      <c r="J107" s="80">
        <v>6.49</v>
      </c>
      <c r="K107" s="80">
        <v>13.7</v>
      </c>
      <c r="L107" s="296">
        <v>0.23</v>
      </c>
      <c r="M107" s="80"/>
      <c r="N107" s="391"/>
      <c r="O107" s="157" t="str">
        <f t="shared" si="90"/>
        <v>NO</v>
      </c>
      <c r="P107" s="297">
        <v>50</v>
      </c>
      <c r="Q107" s="33">
        <v>1.5</v>
      </c>
      <c r="R107" s="34">
        <v>4</v>
      </c>
      <c r="S107" s="29">
        <v>4</v>
      </c>
      <c r="T107" s="34">
        <v>115</v>
      </c>
      <c r="U107" s="31">
        <v>105</v>
      </c>
      <c r="V107" s="29">
        <v>25</v>
      </c>
      <c r="W107" s="30">
        <f t="shared" si="91"/>
        <v>75</v>
      </c>
      <c r="X107" s="146">
        <f t="shared" si="92"/>
        <v>324.5</v>
      </c>
      <c r="Y107" s="147">
        <f t="shared" si="93"/>
        <v>1.272549019607843</v>
      </c>
      <c r="Z107" s="294">
        <f t="shared" si="94"/>
        <v>248.57654411764702</v>
      </c>
      <c r="AA107" s="131">
        <f t="shared" si="95"/>
        <v>1</v>
      </c>
      <c r="AB107" s="128">
        <f t="shared" si="96"/>
        <v>94.53</v>
      </c>
      <c r="AC107" s="33">
        <v>17.2</v>
      </c>
      <c r="AD107" s="52">
        <f t="shared" si="97"/>
        <v>37.73255813953489</v>
      </c>
      <c r="AE107" s="34">
        <v>30</v>
      </c>
      <c r="AF107" s="34">
        <v>1.6</v>
      </c>
      <c r="AG107" s="31">
        <v>29</v>
      </c>
      <c r="AH107" s="31">
        <v>520</v>
      </c>
      <c r="AI107" s="112">
        <f t="shared" si="98"/>
        <v>1072.25</v>
      </c>
      <c r="AJ107" s="31">
        <v>80</v>
      </c>
      <c r="AK107" s="30">
        <f t="shared" si="99"/>
        <v>0.9671371656006361</v>
      </c>
      <c r="AL107" s="52">
        <f t="shared" si="100"/>
        <v>676.9960159204453</v>
      </c>
      <c r="AM107" s="52">
        <f t="shared" si="101"/>
        <v>2369.8936254727123</v>
      </c>
      <c r="AN107" s="85">
        <f t="shared" si="102"/>
        <v>1501.1499999999999</v>
      </c>
      <c r="AO107" s="30">
        <f t="shared" si="103"/>
        <v>185.14793949005568</v>
      </c>
      <c r="AP107" s="128">
        <f t="shared" si="104"/>
        <v>29.623670318408905</v>
      </c>
      <c r="AQ107" s="293" t="str">
        <f t="shared" si="105"/>
        <v>OK</v>
      </c>
      <c r="AR107" s="120">
        <f t="shared" si="106"/>
        <v>289.75</v>
      </c>
      <c r="AS107" s="255">
        <f t="shared" si="107"/>
        <v>24.145833333333332</v>
      </c>
      <c r="AT107" s="52">
        <f t="shared" si="108"/>
        <v>700</v>
      </c>
      <c r="AU107" s="52">
        <f t="shared" si="109"/>
        <v>58.333333333333336</v>
      </c>
      <c r="AV107" s="31">
        <v>199</v>
      </c>
      <c r="AW107" s="63">
        <f t="shared" si="110"/>
        <v>22.63671875</v>
      </c>
      <c r="AX107" s="119"/>
      <c r="AY107" s="125">
        <v>0</v>
      </c>
      <c r="AZ107" s="256">
        <f t="shared" si="111"/>
        <v>3.3637254901960785</v>
      </c>
      <c r="BA107" s="67">
        <v>535</v>
      </c>
      <c r="BB107" s="257">
        <f t="shared" si="112"/>
        <v>0.4412806895468722</v>
      </c>
      <c r="BC107" s="63">
        <f t="shared" si="113"/>
        <v>0.39654165323880114</v>
      </c>
      <c r="BD107" s="130">
        <f t="shared" si="114"/>
        <v>0.75</v>
      </c>
      <c r="BE107" s="91" t="str">
        <f t="shared" si="115"/>
        <v>OK</v>
      </c>
      <c r="BF107" s="91" t="str">
        <f t="shared" si="116"/>
        <v>OK</v>
      </c>
    </row>
    <row r="108" spans="2:58" ht="12" thickBot="1">
      <c r="B108" s="165">
        <v>1</v>
      </c>
      <c r="C108" s="504">
        <f t="shared" si="89"/>
        <v>0.55</v>
      </c>
      <c r="D108" s="54"/>
      <c r="E108" s="355" t="s">
        <v>233</v>
      </c>
      <c r="F108" s="438" t="s">
        <v>225</v>
      </c>
      <c r="G108" s="115" t="s">
        <v>163</v>
      </c>
      <c r="H108" s="153">
        <v>22</v>
      </c>
      <c r="I108" s="153"/>
      <c r="J108" s="100">
        <v>6.49</v>
      </c>
      <c r="K108" s="100">
        <v>13.7</v>
      </c>
      <c r="L108" s="116">
        <v>0.23</v>
      </c>
      <c r="M108" s="100"/>
      <c r="N108" s="156"/>
      <c r="O108" s="392" t="str">
        <f t="shared" si="90"/>
        <v>NO</v>
      </c>
      <c r="P108" s="297">
        <v>50</v>
      </c>
      <c r="Q108" s="64">
        <v>1.5</v>
      </c>
      <c r="R108" s="297">
        <v>4</v>
      </c>
      <c r="S108" s="80">
        <v>4</v>
      </c>
      <c r="T108" s="297">
        <v>115</v>
      </c>
      <c r="U108" s="81">
        <v>105</v>
      </c>
      <c r="V108" s="80">
        <v>25</v>
      </c>
      <c r="W108" s="82">
        <f t="shared" si="91"/>
        <v>75</v>
      </c>
      <c r="X108" s="83">
        <f t="shared" si="92"/>
        <v>324.5</v>
      </c>
      <c r="Y108" s="84">
        <f t="shared" si="93"/>
        <v>1.272549019607843</v>
      </c>
      <c r="Z108" s="303">
        <f t="shared" si="94"/>
        <v>248.57654411764702</v>
      </c>
      <c r="AA108" s="132">
        <f t="shared" si="95"/>
        <v>1</v>
      </c>
      <c r="AB108" s="453">
        <f t="shared" si="96"/>
        <v>94.53</v>
      </c>
      <c r="AC108" s="64">
        <v>17.2</v>
      </c>
      <c r="AD108" s="85">
        <f t="shared" si="97"/>
        <v>37.73255813953489</v>
      </c>
      <c r="AE108" s="297">
        <v>30</v>
      </c>
      <c r="AF108" s="297">
        <v>1.6</v>
      </c>
      <c r="AG108" s="81">
        <v>29</v>
      </c>
      <c r="AH108" s="81">
        <v>520</v>
      </c>
      <c r="AI108" s="454">
        <f t="shared" si="98"/>
        <v>1072.25</v>
      </c>
      <c r="AJ108" s="81">
        <v>80</v>
      </c>
      <c r="AK108" s="124">
        <f t="shared" si="99"/>
        <v>0.9671371656006361</v>
      </c>
      <c r="AL108" s="85">
        <f t="shared" si="100"/>
        <v>676.9960159204453</v>
      </c>
      <c r="AM108" s="85">
        <f t="shared" si="101"/>
        <v>2369.8936254727123</v>
      </c>
      <c r="AN108" s="252">
        <f t="shared" si="102"/>
        <v>1501.1499999999999</v>
      </c>
      <c r="AO108" s="124">
        <f t="shared" si="103"/>
        <v>185.14793949005568</v>
      </c>
      <c r="AP108" s="129">
        <f t="shared" si="104"/>
        <v>29.623670318408905</v>
      </c>
      <c r="AQ108" s="299" t="str">
        <f t="shared" si="105"/>
        <v>OK</v>
      </c>
      <c r="AR108" s="114">
        <f t="shared" si="106"/>
        <v>289.75</v>
      </c>
      <c r="AS108" s="298">
        <f t="shared" si="107"/>
        <v>24.145833333333332</v>
      </c>
      <c r="AT108" s="85">
        <f t="shared" si="108"/>
        <v>700</v>
      </c>
      <c r="AU108" s="85">
        <f t="shared" si="109"/>
        <v>58.333333333333336</v>
      </c>
      <c r="AV108" s="81">
        <v>199</v>
      </c>
      <c r="AW108" s="88">
        <f t="shared" si="110"/>
        <v>22.63671875</v>
      </c>
      <c r="AX108" s="254"/>
      <c r="AY108" s="300">
        <v>0</v>
      </c>
      <c r="AZ108" s="301">
        <f t="shared" si="111"/>
        <v>3.3637254901960785</v>
      </c>
      <c r="BA108" s="87">
        <v>535</v>
      </c>
      <c r="BB108" s="302">
        <f t="shared" si="112"/>
        <v>0.4412806895468722</v>
      </c>
      <c r="BC108" s="88">
        <f t="shared" si="113"/>
        <v>0.39654165323880114</v>
      </c>
      <c r="BD108" s="363">
        <f t="shared" si="114"/>
        <v>0.75</v>
      </c>
      <c r="BE108" s="89" t="str">
        <f t="shared" si="115"/>
        <v>OK</v>
      </c>
      <c r="BF108" s="89" t="str">
        <f t="shared" si="116"/>
        <v>OK</v>
      </c>
    </row>
    <row r="109" spans="2:58" ht="11.25">
      <c r="B109" s="254">
        <v>1</v>
      </c>
      <c r="C109" s="507">
        <f t="shared" si="89"/>
        <v>0.605</v>
      </c>
      <c r="D109" s="54"/>
      <c r="E109" s="371" t="s">
        <v>204</v>
      </c>
      <c r="F109" s="421" t="s">
        <v>234</v>
      </c>
      <c r="G109" s="458" t="s">
        <v>163</v>
      </c>
      <c r="H109" s="295">
        <v>22</v>
      </c>
      <c r="I109" s="295"/>
      <c r="J109" s="80">
        <v>6.49</v>
      </c>
      <c r="K109" s="80">
        <v>13.7</v>
      </c>
      <c r="L109" s="296">
        <v>0.23</v>
      </c>
      <c r="M109" s="80"/>
      <c r="N109" s="391"/>
      <c r="O109" s="372" t="str">
        <f t="shared" si="90"/>
        <v>NO</v>
      </c>
      <c r="P109" s="4">
        <v>50</v>
      </c>
      <c r="Q109" s="6">
        <v>1.5</v>
      </c>
      <c r="R109" s="4">
        <v>4</v>
      </c>
      <c r="S109" s="140">
        <v>4</v>
      </c>
      <c r="T109" s="4">
        <v>115</v>
      </c>
      <c r="U109" s="141">
        <v>117</v>
      </c>
      <c r="V109" s="140">
        <v>27.5</v>
      </c>
      <c r="W109" s="142">
        <f t="shared" si="91"/>
        <v>82.5</v>
      </c>
      <c r="X109" s="440">
        <f t="shared" si="92"/>
        <v>324.5</v>
      </c>
      <c r="Y109" s="441">
        <f t="shared" si="93"/>
        <v>1.1568627450980393</v>
      </c>
      <c r="Z109" s="442">
        <f t="shared" si="94"/>
        <v>249.9843014705882</v>
      </c>
      <c r="AA109" s="162">
        <f t="shared" si="95"/>
        <v>1</v>
      </c>
      <c r="AB109" s="51">
        <f t="shared" si="96"/>
        <v>94.53</v>
      </c>
      <c r="AC109" s="6">
        <v>17.2</v>
      </c>
      <c r="AD109" s="143">
        <f t="shared" si="97"/>
        <v>37.73255813953489</v>
      </c>
      <c r="AE109" s="4">
        <v>30</v>
      </c>
      <c r="AF109" s="4">
        <v>1.6</v>
      </c>
      <c r="AG109" s="141">
        <v>29</v>
      </c>
      <c r="AH109" s="141">
        <v>520</v>
      </c>
      <c r="AI109" s="144">
        <f t="shared" si="98"/>
        <v>1132.85</v>
      </c>
      <c r="AJ109" s="141">
        <v>80</v>
      </c>
      <c r="AK109" s="23">
        <f t="shared" si="99"/>
        <v>0.8977502756312957</v>
      </c>
      <c r="AL109" s="143">
        <f t="shared" si="100"/>
        <v>700.2452149924106</v>
      </c>
      <c r="AM109" s="143">
        <f t="shared" si="101"/>
        <v>2479.812343987857</v>
      </c>
      <c r="AN109" s="290">
        <f t="shared" si="102"/>
        <v>1585.9899999999998</v>
      </c>
      <c r="AO109" s="23">
        <f t="shared" si="103"/>
        <v>234.4197606426021</v>
      </c>
      <c r="AP109" s="86">
        <f t="shared" si="104"/>
        <v>34.097419729833035</v>
      </c>
      <c r="AQ109" s="443" t="str">
        <f t="shared" si="105"/>
        <v>OK</v>
      </c>
      <c r="AR109" s="444">
        <f t="shared" si="106"/>
        <v>320.35</v>
      </c>
      <c r="AS109" s="145">
        <f t="shared" si="107"/>
        <v>26.695833333333336</v>
      </c>
      <c r="AT109" s="143">
        <f t="shared" si="108"/>
        <v>780</v>
      </c>
      <c r="AU109" s="143">
        <f t="shared" si="109"/>
        <v>65</v>
      </c>
      <c r="AV109" s="141">
        <v>199</v>
      </c>
      <c r="AW109" s="445">
        <f t="shared" si="110"/>
        <v>30.2830859375</v>
      </c>
      <c r="AX109" s="446"/>
      <c r="AY109" s="447">
        <v>0</v>
      </c>
      <c r="AZ109" s="448">
        <f t="shared" si="111"/>
        <v>3.4215686274509802</v>
      </c>
      <c r="BA109" s="7">
        <v>538</v>
      </c>
      <c r="BB109" s="449">
        <f t="shared" si="112"/>
        <v>0.7143103575190067</v>
      </c>
      <c r="BC109" s="445">
        <f t="shared" si="113"/>
        <v>0.6433208432813101</v>
      </c>
      <c r="BD109" s="102">
        <f t="shared" si="114"/>
        <v>0.8250000000000001</v>
      </c>
      <c r="BE109" s="450" t="str">
        <f t="shared" si="115"/>
        <v>OK</v>
      </c>
      <c r="BF109" s="450" t="str">
        <f t="shared" si="116"/>
        <v>OK</v>
      </c>
    </row>
    <row r="110" spans="2:58" ht="11.25">
      <c r="B110" s="119">
        <v>1</v>
      </c>
      <c r="C110" s="512">
        <f t="shared" si="89"/>
        <v>0.605</v>
      </c>
      <c r="D110" s="54"/>
      <c r="E110" s="451" t="s">
        <v>234</v>
      </c>
      <c r="F110" s="79" t="s">
        <v>205</v>
      </c>
      <c r="G110" s="249" t="s">
        <v>163</v>
      </c>
      <c r="H110" s="258">
        <v>22</v>
      </c>
      <c r="I110" s="258"/>
      <c r="J110" s="29">
        <v>6.49</v>
      </c>
      <c r="K110" s="29">
        <v>13.7</v>
      </c>
      <c r="L110" s="32">
        <v>0.23</v>
      </c>
      <c r="M110" s="29"/>
      <c r="N110" s="155"/>
      <c r="O110" s="157" t="str">
        <f t="shared" si="90"/>
        <v>NO</v>
      </c>
      <c r="P110" s="34">
        <v>50</v>
      </c>
      <c r="Q110" s="33">
        <v>1.5</v>
      </c>
      <c r="R110" s="34">
        <v>4</v>
      </c>
      <c r="S110" s="29">
        <v>4</v>
      </c>
      <c r="T110" s="34">
        <v>115</v>
      </c>
      <c r="U110" s="31">
        <v>117</v>
      </c>
      <c r="V110" s="29">
        <v>27.5</v>
      </c>
      <c r="W110" s="30">
        <f t="shared" si="91"/>
        <v>82.5</v>
      </c>
      <c r="X110" s="146">
        <f t="shared" si="92"/>
        <v>324.5</v>
      </c>
      <c r="Y110" s="147">
        <f t="shared" si="93"/>
        <v>1.1568627450980393</v>
      </c>
      <c r="Z110" s="294">
        <f t="shared" si="94"/>
        <v>249.9843014705882</v>
      </c>
      <c r="AA110" s="131">
        <f t="shared" si="95"/>
        <v>1</v>
      </c>
      <c r="AB110" s="128">
        <f t="shared" si="96"/>
        <v>94.53</v>
      </c>
      <c r="AC110" s="33">
        <v>17.2</v>
      </c>
      <c r="AD110" s="52">
        <f t="shared" si="97"/>
        <v>37.73255813953489</v>
      </c>
      <c r="AE110" s="34">
        <v>30</v>
      </c>
      <c r="AF110" s="34">
        <v>1.6</v>
      </c>
      <c r="AG110" s="31">
        <v>29</v>
      </c>
      <c r="AH110" s="31">
        <v>520</v>
      </c>
      <c r="AI110" s="112">
        <f t="shared" si="98"/>
        <v>1132.85</v>
      </c>
      <c r="AJ110" s="31">
        <v>80</v>
      </c>
      <c r="AK110" s="30">
        <f t="shared" si="99"/>
        <v>0.8977502756312957</v>
      </c>
      <c r="AL110" s="52">
        <f t="shared" si="100"/>
        <v>700.2452149924106</v>
      </c>
      <c r="AM110" s="52">
        <f t="shared" si="101"/>
        <v>2479.812343987857</v>
      </c>
      <c r="AN110" s="85">
        <f t="shared" si="102"/>
        <v>1585.9899999999998</v>
      </c>
      <c r="AO110" s="30">
        <f t="shared" si="103"/>
        <v>234.4197606426021</v>
      </c>
      <c r="AP110" s="128">
        <f t="shared" si="104"/>
        <v>34.097419729833035</v>
      </c>
      <c r="AQ110" s="293" t="str">
        <f t="shared" si="105"/>
        <v>OK</v>
      </c>
      <c r="AR110" s="120">
        <f t="shared" si="106"/>
        <v>320.35</v>
      </c>
      <c r="AS110" s="255">
        <f t="shared" si="107"/>
        <v>26.695833333333336</v>
      </c>
      <c r="AT110" s="52">
        <f t="shared" si="108"/>
        <v>780</v>
      </c>
      <c r="AU110" s="52">
        <f t="shared" si="109"/>
        <v>65</v>
      </c>
      <c r="AV110" s="31">
        <v>199</v>
      </c>
      <c r="AW110" s="63">
        <f t="shared" si="110"/>
        <v>30.2830859375</v>
      </c>
      <c r="AX110" s="119"/>
      <c r="AY110" s="125">
        <v>0</v>
      </c>
      <c r="AZ110" s="256">
        <f t="shared" si="111"/>
        <v>3.4215686274509802</v>
      </c>
      <c r="BA110" s="67">
        <v>538</v>
      </c>
      <c r="BB110" s="257">
        <f t="shared" si="112"/>
        <v>0.7143103575190067</v>
      </c>
      <c r="BC110" s="63">
        <f t="shared" si="113"/>
        <v>0.6433208432813101</v>
      </c>
      <c r="BD110" s="130">
        <f t="shared" si="114"/>
        <v>0.8250000000000001</v>
      </c>
      <c r="BE110" s="91" t="str">
        <f t="shared" si="115"/>
        <v>OK</v>
      </c>
      <c r="BF110" s="91" t="str">
        <f t="shared" si="116"/>
        <v>OK</v>
      </c>
    </row>
    <row r="111" spans="1:58" ht="11.25">
      <c r="A111" s="54"/>
      <c r="B111" s="427">
        <v>1</v>
      </c>
      <c r="C111" s="507">
        <f t="shared" si="89"/>
        <v>0.605</v>
      </c>
      <c r="D111" s="54"/>
      <c r="E111" s="357" t="s">
        <v>206</v>
      </c>
      <c r="F111" s="79" t="s">
        <v>235</v>
      </c>
      <c r="G111" s="458" t="s">
        <v>163</v>
      </c>
      <c r="H111" s="295">
        <v>22</v>
      </c>
      <c r="I111" s="295"/>
      <c r="J111" s="80">
        <v>6.49</v>
      </c>
      <c r="K111" s="80">
        <v>13.7</v>
      </c>
      <c r="L111" s="296">
        <v>0.23</v>
      </c>
      <c r="M111" s="80"/>
      <c r="N111" s="391"/>
      <c r="O111" s="157" t="str">
        <f t="shared" si="90"/>
        <v>NO</v>
      </c>
      <c r="P111" s="34">
        <v>50</v>
      </c>
      <c r="Q111" s="33">
        <v>1.5</v>
      </c>
      <c r="R111" s="34">
        <v>4</v>
      </c>
      <c r="S111" s="29">
        <v>4</v>
      </c>
      <c r="T111" s="34">
        <v>115</v>
      </c>
      <c r="U111" s="31">
        <v>117</v>
      </c>
      <c r="V111" s="29">
        <v>27.5</v>
      </c>
      <c r="W111" s="30">
        <f t="shared" si="91"/>
        <v>82.5</v>
      </c>
      <c r="X111" s="146">
        <f t="shared" si="92"/>
        <v>324.5</v>
      </c>
      <c r="Y111" s="147">
        <f t="shared" si="93"/>
        <v>1.1568627450980393</v>
      </c>
      <c r="Z111" s="294">
        <f t="shared" si="94"/>
        <v>249.9843014705882</v>
      </c>
      <c r="AA111" s="131">
        <f t="shared" si="95"/>
        <v>1</v>
      </c>
      <c r="AB111" s="128">
        <f t="shared" si="96"/>
        <v>94.53</v>
      </c>
      <c r="AC111" s="33">
        <v>17.2</v>
      </c>
      <c r="AD111" s="52">
        <f t="shared" si="97"/>
        <v>37.73255813953489</v>
      </c>
      <c r="AE111" s="34">
        <v>30</v>
      </c>
      <c r="AF111" s="34">
        <v>1.6</v>
      </c>
      <c r="AG111" s="31">
        <v>29</v>
      </c>
      <c r="AH111" s="31">
        <v>520</v>
      </c>
      <c r="AI111" s="112">
        <f t="shared" si="98"/>
        <v>1132.85</v>
      </c>
      <c r="AJ111" s="31">
        <v>80</v>
      </c>
      <c r="AK111" s="30">
        <f t="shared" si="99"/>
        <v>0.8977502756312957</v>
      </c>
      <c r="AL111" s="52">
        <f t="shared" si="100"/>
        <v>700.2452149924106</v>
      </c>
      <c r="AM111" s="52">
        <f t="shared" si="101"/>
        <v>2479.812343987857</v>
      </c>
      <c r="AN111" s="85">
        <f t="shared" si="102"/>
        <v>1585.9899999999998</v>
      </c>
      <c r="AO111" s="30">
        <f t="shared" si="103"/>
        <v>234.4197606426021</v>
      </c>
      <c r="AP111" s="128">
        <f t="shared" si="104"/>
        <v>34.097419729833035</v>
      </c>
      <c r="AQ111" s="293" t="str">
        <f t="shared" si="105"/>
        <v>OK</v>
      </c>
      <c r="AR111" s="120">
        <f t="shared" si="106"/>
        <v>320.35</v>
      </c>
      <c r="AS111" s="255">
        <f t="shared" si="107"/>
        <v>26.695833333333336</v>
      </c>
      <c r="AT111" s="52">
        <f t="shared" si="108"/>
        <v>780</v>
      </c>
      <c r="AU111" s="52">
        <f t="shared" si="109"/>
        <v>65</v>
      </c>
      <c r="AV111" s="31">
        <v>199</v>
      </c>
      <c r="AW111" s="63">
        <f t="shared" si="110"/>
        <v>30.2830859375</v>
      </c>
      <c r="AX111" s="119"/>
      <c r="AY111" s="125">
        <v>0</v>
      </c>
      <c r="AZ111" s="256">
        <f t="shared" si="111"/>
        <v>3.4215686274509802</v>
      </c>
      <c r="BA111" s="67">
        <v>538</v>
      </c>
      <c r="BB111" s="257">
        <f t="shared" si="112"/>
        <v>0.7143103575190067</v>
      </c>
      <c r="BC111" s="63">
        <f t="shared" si="113"/>
        <v>0.6433208432813101</v>
      </c>
      <c r="BD111" s="130">
        <f t="shared" si="114"/>
        <v>0.8250000000000001</v>
      </c>
      <c r="BE111" s="91" t="str">
        <f t="shared" si="115"/>
        <v>OK</v>
      </c>
      <c r="BF111" s="91" t="str">
        <f t="shared" si="116"/>
        <v>OK</v>
      </c>
    </row>
    <row r="112" spans="1:59" ht="12" thickBot="1">
      <c r="A112" s="54"/>
      <c r="B112" s="165">
        <v>1</v>
      </c>
      <c r="C112" s="504">
        <f t="shared" si="89"/>
        <v>0.605</v>
      </c>
      <c r="D112" s="54"/>
      <c r="E112" s="393" t="s">
        <v>235</v>
      </c>
      <c r="F112" s="459" t="s">
        <v>207</v>
      </c>
      <c r="G112" s="115" t="s">
        <v>163</v>
      </c>
      <c r="H112" s="153">
        <v>22</v>
      </c>
      <c r="I112" s="153"/>
      <c r="J112" s="100">
        <v>6.49</v>
      </c>
      <c r="K112" s="100">
        <v>13.7</v>
      </c>
      <c r="L112" s="116">
        <v>0.23</v>
      </c>
      <c r="M112" s="100"/>
      <c r="N112" s="156"/>
      <c r="O112" s="158" t="str">
        <f t="shared" si="90"/>
        <v>NO</v>
      </c>
      <c r="P112" s="286">
        <v>50</v>
      </c>
      <c r="Q112" s="36">
        <v>1.5</v>
      </c>
      <c r="R112" s="286">
        <v>4</v>
      </c>
      <c r="S112" s="306">
        <v>4</v>
      </c>
      <c r="T112" s="286">
        <v>115</v>
      </c>
      <c r="U112" s="35">
        <v>117</v>
      </c>
      <c r="V112" s="306">
        <v>27.5</v>
      </c>
      <c r="W112" s="148">
        <f t="shared" si="91"/>
        <v>82.5</v>
      </c>
      <c r="X112" s="149">
        <f t="shared" si="92"/>
        <v>324.5</v>
      </c>
      <c r="Y112" s="150">
        <f t="shared" si="93"/>
        <v>1.1568627450980393</v>
      </c>
      <c r="Z112" s="374">
        <f t="shared" si="94"/>
        <v>249.9843014705882</v>
      </c>
      <c r="AA112" s="164">
        <f t="shared" si="95"/>
        <v>1</v>
      </c>
      <c r="AB112" s="308">
        <f t="shared" si="96"/>
        <v>94.53</v>
      </c>
      <c r="AC112" s="36">
        <v>17.2</v>
      </c>
      <c r="AD112" s="376">
        <f t="shared" si="97"/>
        <v>37.73255813953489</v>
      </c>
      <c r="AE112" s="286">
        <v>30</v>
      </c>
      <c r="AF112" s="286">
        <v>1.6</v>
      </c>
      <c r="AG112" s="35">
        <v>29</v>
      </c>
      <c r="AH112" s="35">
        <v>520</v>
      </c>
      <c r="AI112" s="377">
        <f t="shared" si="98"/>
        <v>1132.85</v>
      </c>
      <c r="AJ112" s="35">
        <v>80</v>
      </c>
      <c r="AK112" s="124">
        <f t="shared" si="99"/>
        <v>0.8977502756312957</v>
      </c>
      <c r="AL112" s="376">
        <f t="shared" si="100"/>
        <v>700.2452149924106</v>
      </c>
      <c r="AM112" s="376">
        <f t="shared" si="101"/>
        <v>2479.812343987857</v>
      </c>
      <c r="AN112" s="252">
        <f t="shared" si="102"/>
        <v>1585.9899999999998</v>
      </c>
      <c r="AO112" s="124">
        <f t="shared" si="103"/>
        <v>234.4197606426021</v>
      </c>
      <c r="AP112" s="129">
        <f t="shared" si="104"/>
        <v>34.097419729833035</v>
      </c>
      <c r="AQ112" s="311" t="str">
        <f t="shared" si="105"/>
        <v>OK</v>
      </c>
      <c r="AR112" s="378">
        <f t="shared" si="106"/>
        <v>320.35</v>
      </c>
      <c r="AS112" s="379">
        <f t="shared" si="107"/>
        <v>26.695833333333336</v>
      </c>
      <c r="AT112" s="376">
        <f t="shared" si="108"/>
        <v>780</v>
      </c>
      <c r="AU112" s="376">
        <f t="shared" si="109"/>
        <v>65</v>
      </c>
      <c r="AV112" s="35">
        <v>199</v>
      </c>
      <c r="AW112" s="380">
        <f t="shared" si="110"/>
        <v>30.2830859375</v>
      </c>
      <c r="AX112" s="381"/>
      <c r="AY112" s="382">
        <v>0</v>
      </c>
      <c r="AZ112" s="383">
        <f t="shared" si="111"/>
        <v>3.4215686274509802</v>
      </c>
      <c r="BA112" s="368">
        <v>538</v>
      </c>
      <c r="BB112" s="310">
        <f t="shared" si="112"/>
        <v>0.7143103575190067</v>
      </c>
      <c r="BC112" s="380">
        <f t="shared" si="113"/>
        <v>0.6433208432813101</v>
      </c>
      <c r="BD112" s="113">
        <f t="shared" si="114"/>
        <v>0.8250000000000001</v>
      </c>
      <c r="BE112" s="385" t="str">
        <f t="shared" si="115"/>
        <v>OK</v>
      </c>
      <c r="BF112" s="311" t="str">
        <f t="shared" si="116"/>
        <v>OK</v>
      </c>
      <c r="BG112" s="460"/>
    </row>
    <row r="113" spans="1:59" ht="11.25">
      <c r="A113" s="54"/>
      <c r="B113" s="427">
        <v>1</v>
      </c>
      <c r="C113" s="507">
        <f t="shared" si="89"/>
        <v>0.05</v>
      </c>
      <c r="D113" s="54"/>
      <c r="E113" s="371" t="s">
        <v>162</v>
      </c>
      <c r="F113" s="421" t="s">
        <v>228</v>
      </c>
      <c r="G113" s="123" t="s">
        <v>236</v>
      </c>
      <c r="H113" s="287">
        <v>10</v>
      </c>
      <c r="I113" s="287" t="s">
        <v>118</v>
      </c>
      <c r="J113" s="22">
        <v>2.96</v>
      </c>
      <c r="K113" s="22">
        <v>7.89</v>
      </c>
      <c r="L113" s="25">
        <v>0.17</v>
      </c>
      <c r="M113" s="22"/>
      <c r="N113" s="154"/>
      <c r="O113" s="372" t="str">
        <f t="shared" si="90"/>
        <v>NO</v>
      </c>
      <c r="P113" s="4">
        <v>50</v>
      </c>
      <c r="Q113" s="6">
        <v>1.5</v>
      </c>
      <c r="R113" s="4">
        <v>4</v>
      </c>
      <c r="S113" s="140">
        <v>4</v>
      </c>
      <c r="T113" s="4">
        <v>115</v>
      </c>
      <c r="U113" s="141">
        <v>15</v>
      </c>
      <c r="V113" s="140">
        <v>5</v>
      </c>
      <c r="X113" s="399" t="s">
        <v>237</v>
      </c>
      <c r="Y113" s="455" t="s">
        <v>238</v>
      </c>
      <c r="Z113" s="189">
        <v>28.5</v>
      </c>
      <c r="AA113" s="162">
        <f t="shared" si="95"/>
        <v>1</v>
      </c>
      <c r="AB113" s="51">
        <f t="shared" si="96"/>
        <v>40.239000000000004</v>
      </c>
      <c r="AC113" s="6">
        <v>17.2</v>
      </c>
      <c r="AD113" s="143"/>
      <c r="AE113" s="4">
        <v>30</v>
      </c>
      <c r="AF113" s="4">
        <v>1.6</v>
      </c>
      <c r="AG113" s="141">
        <v>29</v>
      </c>
      <c r="AH113" s="141">
        <v>520</v>
      </c>
      <c r="AI113" s="144">
        <f t="shared" si="98"/>
        <v>605.75</v>
      </c>
      <c r="AJ113" s="141">
        <v>80</v>
      </c>
      <c r="AK113" s="23">
        <f t="shared" si="99"/>
        <v>1</v>
      </c>
      <c r="AL113" s="143">
        <f t="shared" si="100"/>
        <v>100</v>
      </c>
      <c r="AM113" s="143">
        <f t="shared" si="101"/>
        <v>886.9</v>
      </c>
      <c r="AN113" s="290">
        <f t="shared" si="102"/>
        <v>848.05</v>
      </c>
      <c r="AO113" s="23">
        <f t="shared" si="103"/>
        <v>2.7715625</v>
      </c>
      <c r="AP113" s="86">
        <f t="shared" si="104"/>
        <v>2.21725</v>
      </c>
      <c r="AQ113" s="443" t="str">
        <f t="shared" si="105"/>
        <v>OK</v>
      </c>
      <c r="AR113" s="444">
        <f t="shared" si="106"/>
        <v>48.25</v>
      </c>
      <c r="AS113" s="145">
        <f t="shared" si="107"/>
        <v>4.020833333333333</v>
      </c>
      <c r="AT113" s="143">
        <f t="shared" si="108"/>
        <v>100</v>
      </c>
      <c r="AU113" s="143">
        <f t="shared" si="109"/>
        <v>8.333333333333334</v>
      </c>
      <c r="AV113" s="141">
        <v>30.8</v>
      </c>
      <c r="AW113" s="445">
        <f t="shared" si="110"/>
        <v>0.15078125</v>
      </c>
      <c r="AX113" s="446"/>
      <c r="AY113" s="447">
        <v>0</v>
      </c>
      <c r="AZ113" s="448"/>
      <c r="BA113" s="7">
        <v>30.8</v>
      </c>
      <c r="BB113" s="449">
        <f t="shared" si="112"/>
        <v>0.0007596457960143304</v>
      </c>
      <c r="BC113" s="445">
        <f t="shared" si="113"/>
        <v>0.0015743954321540531</v>
      </c>
      <c r="BD113" s="102">
        <f t="shared" si="114"/>
        <v>0.15000000000000002</v>
      </c>
      <c r="BE113" s="450" t="str">
        <f t="shared" si="115"/>
        <v>OK</v>
      </c>
      <c r="BF113" s="450" t="str">
        <f t="shared" si="116"/>
        <v>OK</v>
      </c>
      <c r="BG113" s="8" t="s">
        <v>239</v>
      </c>
    </row>
    <row r="114" spans="1:59" ht="12" thickBot="1">
      <c r="A114" s="54"/>
      <c r="B114" s="165">
        <v>1</v>
      </c>
      <c r="C114" s="504">
        <f t="shared" si="89"/>
        <v>0.05</v>
      </c>
      <c r="D114" s="54"/>
      <c r="E114" s="268" t="s">
        <v>178</v>
      </c>
      <c r="F114" s="304" t="s">
        <v>229</v>
      </c>
      <c r="G114" s="115" t="s">
        <v>236</v>
      </c>
      <c r="H114" s="153">
        <v>10</v>
      </c>
      <c r="I114" s="153" t="s">
        <v>118</v>
      </c>
      <c r="J114" s="100">
        <v>2.96</v>
      </c>
      <c r="K114" s="100">
        <v>7.89</v>
      </c>
      <c r="L114" s="116">
        <v>0.17</v>
      </c>
      <c r="M114" s="100"/>
      <c r="N114" s="156"/>
      <c r="O114" s="158" t="str">
        <f t="shared" si="90"/>
        <v>NO</v>
      </c>
      <c r="P114" s="109">
        <v>50</v>
      </c>
      <c r="Q114" s="95">
        <v>1.5</v>
      </c>
      <c r="R114" s="109">
        <v>4</v>
      </c>
      <c r="S114" s="100">
        <v>4</v>
      </c>
      <c r="T114" s="109">
        <v>115</v>
      </c>
      <c r="U114" s="108">
        <v>15</v>
      </c>
      <c r="V114" s="100">
        <v>5</v>
      </c>
      <c r="W114" s="406"/>
      <c r="X114" s="461" t="s">
        <v>237</v>
      </c>
      <c r="Y114" s="370" t="s">
        <v>238</v>
      </c>
      <c r="Z114" s="462">
        <v>28.5</v>
      </c>
      <c r="AA114" s="164">
        <f t="shared" si="95"/>
        <v>1</v>
      </c>
      <c r="AB114" s="463">
        <f t="shared" si="96"/>
        <v>40.239000000000004</v>
      </c>
      <c r="AC114" s="95">
        <v>17.2</v>
      </c>
      <c r="AD114" s="106"/>
      <c r="AE114" s="109">
        <v>30</v>
      </c>
      <c r="AF114" s="109">
        <v>1.6</v>
      </c>
      <c r="AG114" s="108">
        <v>29</v>
      </c>
      <c r="AH114" s="108">
        <v>520</v>
      </c>
      <c r="AI114" s="133">
        <f t="shared" si="98"/>
        <v>605.75</v>
      </c>
      <c r="AJ114" s="108">
        <v>80</v>
      </c>
      <c r="AK114" s="107">
        <f t="shared" si="99"/>
        <v>1</v>
      </c>
      <c r="AL114" s="106">
        <f t="shared" si="100"/>
        <v>100</v>
      </c>
      <c r="AM114" s="106">
        <f t="shared" si="101"/>
        <v>886.9</v>
      </c>
      <c r="AN114" s="106">
        <f t="shared" si="102"/>
        <v>848.05</v>
      </c>
      <c r="AO114" s="148">
        <f t="shared" si="103"/>
        <v>2.7715625</v>
      </c>
      <c r="AP114" s="129">
        <f t="shared" si="104"/>
        <v>2.21725</v>
      </c>
      <c r="AQ114" s="316" t="str">
        <f t="shared" si="105"/>
        <v>OK</v>
      </c>
      <c r="AR114" s="104">
        <f t="shared" si="106"/>
        <v>48.25</v>
      </c>
      <c r="AS114" s="312">
        <f t="shared" si="107"/>
        <v>4.020833333333333</v>
      </c>
      <c r="AT114" s="106">
        <f t="shared" si="108"/>
        <v>100</v>
      </c>
      <c r="AU114" s="106">
        <f t="shared" si="109"/>
        <v>8.333333333333334</v>
      </c>
      <c r="AV114" s="108">
        <v>30.8</v>
      </c>
      <c r="AW114" s="111">
        <f t="shared" si="110"/>
        <v>0.15078125</v>
      </c>
      <c r="AX114" s="165"/>
      <c r="AY114" s="127">
        <v>0</v>
      </c>
      <c r="AZ114" s="313"/>
      <c r="BA114" s="110">
        <v>30.8</v>
      </c>
      <c r="BB114" s="314">
        <f t="shared" si="112"/>
        <v>0.0007596457960143304</v>
      </c>
      <c r="BC114" s="111">
        <f t="shared" si="113"/>
        <v>0.0015743954321540531</v>
      </c>
      <c r="BD114" s="113">
        <f t="shared" si="114"/>
        <v>0.15000000000000002</v>
      </c>
      <c r="BE114" s="92" t="str">
        <f t="shared" si="115"/>
        <v>OK</v>
      </c>
      <c r="BF114" s="92" t="str">
        <f t="shared" si="116"/>
        <v>OK</v>
      </c>
      <c r="BG114" s="8" t="s">
        <v>239</v>
      </c>
    </row>
    <row r="115" spans="1:3" ht="11.25">
      <c r="A115" s="13"/>
      <c r="B115" s="13"/>
      <c r="C115" s="318"/>
    </row>
    <row r="116" spans="2:3" ht="11.25">
      <c r="B116" s="13"/>
      <c r="C116" s="318"/>
    </row>
    <row r="117" spans="2:3" ht="11.25">
      <c r="B117" s="13"/>
      <c r="C117" s="318"/>
    </row>
    <row r="118" spans="2:3" ht="11.25">
      <c r="B118" s="13"/>
      <c r="C118" s="318"/>
    </row>
    <row r="121" ht="11.25">
      <c r="B121" s="1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121"/>
  <sheetViews>
    <sheetView workbookViewId="0" topLeftCell="A1">
      <selection activeCell="D70" sqref="D70"/>
    </sheetView>
  </sheetViews>
  <sheetFormatPr defaultColWidth="9.140625" defaultRowHeight="12.75"/>
  <cols>
    <col min="1" max="1" width="1.1484375" style="8" customWidth="1"/>
    <col min="2" max="2" width="6.28125" style="8" customWidth="1"/>
    <col min="3" max="3" width="6.28125" style="494" customWidth="1"/>
    <col min="4" max="4" width="0.71875" style="8" customWidth="1"/>
    <col min="5" max="5" width="7.421875" style="75" customWidth="1"/>
    <col min="6" max="6" width="5.28125" style="75" customWidth="1"/>
    <col min="7" max="7" width="5.140625" style="8" customWidth="1"/>
    <col min="8" max="8" width="5.8515625" style="8" customWidth="1"/>
    <col min="9" max="9" width="5.00390625" style="8" bestFit="1" customWidth="1"/>
    <col min="10" max="10" width="4.8515625" style="9" bestFit="1" customWidth="1"/>
    <col min="11" max="11" width="5.00390625" style="8" bestFit="1" customWidth="1"/>
    <col min="12" max="13" width="4.8515625" style="8" bestFit="1" customWidth="1"/>
    <col min="14" max="14" width="2.8515625" style="8" bestFit="1" customWidth="1"/>
    <col min="15" max="15" width="4.7109375" style="8" bestFit="1" customWidth="1"/>
    <col min="16" max="16" width="5.8515625" style="8" bestFit="1" customWidth="1"/>
    <col min="17" max="17" width="5.57421875" style="8" bestFit="1" customWidth="1"/>
    <col min="18" max="18" width="5.57421875" style="8" customWidth="1"/>
    <col min="19" max="19" width="4.8515625" style="8" bestFit="1" customWidth="1"/>
    <col min="20" max="20" width="5.28125" style="8" customWidth="1"/>
    <col min="21" max="21" width="5.57421875" style="8" bestFit="1" customWidth="1"/>
    <col min="22" max="22" width="5.7109375" style="8" bestFit="1" customWidth="1"/>
    <col min="23" max="23" width="5.140625" style="8" bestFit="1" customWidth="1"/>
    <col min="24" max="24" width="7.140625" style="8" customWidth="1"/>
    <col min="25" max="25" width="4.8515625" style="8" bestFit="1" customWidth="1"/>
    <col min="26" max="26" width="5.7109375" style="8" bestFit="1" customWidth="1"/>
    <col min="27" max="27" width="6.140625" style="8" customWidth="1"/>
    <col min="28" max="28" width="4.8515625" style="8" bestFit="1" customWidth="1"/>
    <col min="29" max="29" width="6.7109375" style="8" bestFit="1" customWidth="1"/>
    <col min="30" max="30" width="5.7109375" style="8" bestFit="1" customWidth="1"/>
    <col min="31" max="32" width="6.57421875" style="8" bestFit="1" customWidth="1"/>
    <col min="33" max="33" width="4.421875" style="8" bestFit="1" customWidth="1"/>
    <col min="34" max="34" width="4.8515625" style="8" bestFit="1" customWidth="1"/>
    <col min="35" max="35" width="5.7109375" style="8" bestFit="1" customWidth="1"/>
    <col min="36" max="37" width="6.57421875" style="8" bestFit="1" customWidth="1"/>
    <col min="38" max="38" width="5.7109375" style="8" bestFit="1" customWidth="1"/>
    <col min="39" max="41" width="6.421875" style="8" bestFit="1" customWidth="1"/>
    <col min="42" max="43" width="7.421875" style="8" bestFit="1" customWidth="1"/>
    <col min="44" max="44" width="5.7109375" style="8" bestFit="1" customWidth="1"/>
    <col min="45" max="45" width="6.57421875" style="8" bestFit="1" customWidth="1"/>
    <col min="46" max="46" width="5.7109375" style="8" bestFit="1" customWidth="1"/>
    <col min="47" max="47" width="4.8515625" style="8" bestFit="1" customWidth="1"/>
    <col min="48" max="48" width="5.28125" style="8" bestFit="1" customWidth="1"/>
    <col min="49" max="49" width="4.8515625" style="8" bestFit="1" customWidth="1"/>
    <col min="50" max="50" width="6.28125" style="8" bestFit="1" customWidth="1"/>
    <col min="51" max="51" width="5.28125" style="8" bestFit="1" customWidth="1"/>
    <col min="52" max="52" width="5.7109375" style="8" bestFit="1" customWidth="1"/>
    <col min="53" max="53" width="6.28125" style="8" bestFit="1" customWidth="1"/>
    <col min="54" max="54" width="7.421875" style="8" bestFit="1" customWidth="1"/>
    <col min="55" max="55" width="5.140625" style="8" bestFit="1" customWidth="1"/>
    <col min="56" max="56" width="5.00390625" style="8" bestFit="1" customWidth="1"/>
    <col min="57" max="57" width="5.7109375" style="8" bestFit="1" customWidth="1"/>
    <col min="58" max="58" width="5.140625" style="8" bestFit="1" customWidth="1"/>
    <col min="59" max="59" width="6.421875" style="8" customWidth="1"/>
    <col min="60" max="60" width="5.7109375" style="8" bestFit="1" customWidth="1"/>
    <col min="61" max="61" width="4.421875" style="8" bestFit="1" customWidth="1"/>
    <col min="62" max="62" width="3.00390625" style="8" bestFit="1" customWidth="1"/>
    <col min="63" max="63" width="4.8515625" style="8" bestFit="1" customWidth="1"/>
    <col min="64" max="64" width="6.28125" style="8" bestFit="1" customWidth="1"/>
    <col min="65" max="65" width="5.28125" style="8" bestFit="1" customWidth="1"/>
    <col min="66" max="66" width="4.421875" style="8" bestFit="1" customWidth="1"/>
    <col min="67" max="67" width="5.00390625" style="8" bestFit="1" customWidth="1"/>
    <col min="68" max="69" width="5.140625" style="8" bestFit="1" customWidth="1"/>
    <col min="70" max="16384" width="9.140625" style="8" customWidth="1"/>
  </cols>
  <sheetData>
    <row r="1" spans="18:22" ht="3.75" customHeight="1">
      <c r="R1" s="13"/>
      <c r="S1" s="13"/>
      <c r="T1" s="13"/>
      <c r="U1" s="13"/>
      <c r="V1" s="13"/>
    </row>
    <row r="2" spans="5:22" ht="20.25">
      <c r="E2" s="96" t="s">
        <v>64</v>
      </c>
      <c r="V2" s="13"/>
    </row>
    <row r="3" spans="5:16" ht="11.25">
      <c r="E3" s="53" t="s">
        <v>55</v>
      </c>
      <c r="O3" s="241"/>
      <c r="P3" s="13"/>
    </row>
    <row r="4" spans="15:20" ht="11.25" customHeight="1">
      <c r="O4" s="283"/>
      <c r="P4" s="13"/>
      <c r="R4" s="53" t="s">
        <v>142</v>
      </c>
      <c r="S4" s="75"/>
      <c r="T4" s="97" t="s">
        <v>143</v>
      </c>
    </row>
    <row r="5" spans="5:20" ht="11.25" customHeight="1">
      <c r="E5" s="98" t="s">
        <v>77</v>
      </c>
      <c r="F5" s="97">
        <v>15</v>
      </c>
      <c r="G5" s="8" t="s">
        <v>66</v>
      </c>
      <c r="I5" s="9"/>
      <c r="J5" s="8"/>
      <c r="O5" s="241"/>
      <c r="P5" s="75"/>
      <c r="R5" s="75"/>
      <c r="S5" s="75"/>
      <c r="T5" s="75" t="s">
        <v>144</v>
      </c>
    </row>
    <row r="6" spans="6:19" ht="11.25">
      <c r="F6" s="75" t="s">
        <v>65</v>
      </c>
      <c r="I6" s="9"/>
      <c r="J6" s="8"/>
      <c r="P6" s="281"/>
      <c r="R6" s="75"/>
      <c r="S6" s="75"/>
    </row>
    <row r="7" spans="9:21" ht="11.25">
      <c r="I7" s="9"/>
      <c r="J7" s="8"/>
      <c r="R7" s="53" t="s">
        <v>145</v>
      </c>
      <c r="S7" s="75"/>
      <c r="T7" s="53" t="s">
        <v>146</v>
      </c>
      <c r="U7" s="75"/>
    </row>
    <row r="8" spans="5:21" ht="11.25">
      <c r="E8" s="75" t="s">
        <v>68</v>
      </c>
      <c r="F8" s="75">
        <v>2</v>
      </c>
      <c r="G8" s="8" t="s">
        <v>151</v>
      </c>
      <c r="R8" s="53" t="s">
        <v>147</v>
      </c>
      <c r="S8" s="75"/>
      <c r="T8" s="53" t="s">
        <v>148</v>
      </c>
      <c r="U8" s="75"/>
    </row>
    <row r="9" spans="15:22" ht="11.25">
      <c r="O9" s="283"/>
      <c r="R9" s="53" t="s">
        <v>149</v>
      </c>
      <c r="S9" s="75"/>
      <c r="T9" s="53" t="s">
        <v>150</v>
      </c>
      <c r="U9" s="75"/>
      <c r="V9" s="13"/>
    </row>
    <row r="10" spans="5:22" ht="11.25">
      <c r="E10" s="53" t="s">
        <v>182</v>
      </c>
      <c r="O10" s="283"/>
      <c r="T10" s="13"/>
      <c r="U10" s="13"/>
      <c r="V10" s="13"/>
    </row>
    <row r="11" spans="5:22" ht="11.25">
      <c r="E11" s="53" t="s">
        <v>181</v>
      </c>
      <c r="O11" s="283"/>
      <c r="R11" s="8" t="s">
        <v>261</v>
      </c>
      <c r="T11" s="13"/>
      <c r="U11" s="13"/>
      <c r="V11" s="13"/>
    </row>
    <row r="12" spans="5:22" ht="11.25">
      <c r="E12" s="53" t="s">
        <v>179</v>
      </c>
      <c r="Q12" s="13"/>
      <c r="R12" s="318">
        <f>SUM(C:C)</f>
        <v>48.580999999999975</v>
      </c>
      <c r="S12" s="13" t="s">
        <v>35</v>
      </c>
      <c r="U12" s="13"/>
      <c r="V12" s="13"/>
    </row>
    <row r="13" spans="5:22" ht="11.25">
      <c r="E13" s="53" t="s">
        <v>180</v>
      </c>
      <c r="Q13" s="13"/>
      <c r="R13" s="13"/>
      <c r="S13" s="13"/>
      <c r="U13" s="13"/>
      <c r="V13" s="13"/>
    </row>
    <row r="14" spans="5:22" ht="11.25">
      <c r="E14" s="53" t="s">
        <v>80</v>
      </c>
      <c r="F14" s="8"/>
      <c r="J14" s="8"/>
      <c r="Q14" s="13"/>
      <c r="R14" s="13" t="s">
        <v>262</v>
      </c>
      <c r="S14" s="13"/>
      <c r="U14" s="13"/>
      <c r="V14" s="13"/>
    </row>
    <row r="15" spans="5:22" ht="11.25">
      <c r="E15" s="13"/>
      <c r="F15" s="64"/>
      <c r="H15" s="64" t="s">
        <v>111</v>
      </c>
      <c r="I15" s="64"/>
      <c r="J15" s="13"/>
      <c r="Q15" s="13"/>
      <c r="R15" s="13">
        <f>SUM(B:B)</f>
        <v>110</v>
      </c>
      <c r="S15" s="13"/>
      <c r="U15" s="13"/>
      <c r="V15" s="13"/>
    </row>
    <row r="16" spans="5:22" ht="12" thickBot="1">
      <c r="E16" s="10"/>
      <c r="F16" s="279" t="s">
        <v>121</v>
      </c>
      <c r="G16" s="279"/>
      <c r="H16" s="279"/>
      <c r="I16" s="280" t="s">
        <v>122</v>
      </c>
      <c r="J16" s="167"/>
      <c r="Q16" s="13"/>
      <c r="R16" s="13"/>
      <c r="S16" s="13"/>
      <c r="U16" s="13"/>
      <c r="V16" s="13"/>
    </row>
    <row r="17" spans="5:22" ht="12" thickTop="1">
      <c r="E17" s="8"/>
      <c r="F17" s="98" t="s">
        <v>123</v>
      </c>
      <c r="H17" s="14" t="s">
        <v>123</v>
      </c>
      <c r="I17" s="167"/>
      <c r="J17" s="167"/>
      <c r="Q17" s="13"/>
      <c r="R17" s="13"/>
      <c r="S17" s="13"/>
      <c r="U17" s="13"/>
      <c r="V17" s="13"/>
    </row>
    <row r="18" spans="5:22" ht="11.25">
      <c r="E18" s="276"/>
      <c r="G18" s="98" t="s">
        <v>21</v>
      </c>
      <c r="I18" s="269"/>
      <c r="J18" s="167"/>
      <c r="Q18" s="13"/>
      <c r="R18" s="13"/>
      <c r="S18" s="13"/>
      <c r="U18" s="13"/>
      <c r="V18" s="13"/>
    </row>
    <row r="19" spans="5:22" ht="11.25">
      <c r="E19" s="276"/>
      <c r="F19" s="8"/>
      <c r="H19" s="13"/>
      <c r="I19" s="10"/>
      <c r="J19" s="13"/>
      <c r="Q19" s="13"/>
      <c r="R19" s="13"/>
      <c r="S19" s="13"/>
      <c r="U19" s="13"/>
      <c r="V19" s="13"/>
    </row>
    <row r="20" spans="2:22" ht="12" thickBot="1">
      <c r="B20" s="36"/>
      <c r="C20" s="495"/>
      <c r="E20" s="53"/>
      <c r="Q20" s="13"/>
      <c r="R20" s="13"/>
      <c r="S20" s="13"/>
      <c r="U20" s="13"/>
      <c r="V20" s="13"/>
    </row>
    <row r="21" spans="2:55" ht="12" thickBot="1">
      <c r="B21" s="493"/>
      <c r="C21" s="496"/>
      <c r="D21" s="54"/>
      <c r="E21" s="121" t="s">
        <v>152</v>
      </c>
      <c r="F21" s="94"/>
      <c r="G21" s="99"/>
      <c r="H21" s="99"/>
      <c r="I21" s="99"/>
      <c r="J21" s="101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22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22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122"/>
    </row>
    <row r="22" spans="2:55" ht="11.25">
      <c r="B22" s="446" t="s">
        <v>244</v>
      </c>
      <c r="C22" s="497" t="s">
        <v>56</v>
      </c>
      <c r="D22" s="54"/>
      <c r="E22" s="76" t="s">
        <v>124</v>
      </c>
      <c r="F22" s="56" t="s">
        <v>124</v>
      </c>
      <c r="G22" s="6" t="s">
        <v>58</v>
      </c>
      <c r="H22" s="6"/>
      <c r="I22" s="6"/>
      <c r="J22" s="6"/>
      <c r="K22" s="6"/>
      <c r="L22" s="3"/>
      <c r="M22" s="38" t="s">
        <v>34</v>
      </c>
      <c r="N22" s="70"/>
      <c r="O22" s="26" t="s">
        <v>61</v>
      </c>
      <c r="P22" s="50"/>
      <c r="Q22" s="5" t="s">
        <v>25</v>
      </c>
      <c r="R22" s="4"/>
      <c r="S22" s="4"/>
      <c r="T22" s="6" t="s">
        <v>125</v>
      </c>
      <c r="U22" s="7"/>
      <c r="V22" s="54"/>
      <c r="W22" s="93"/>
      <c r="X22" s="14" t="s">
        <v>17</v>
      </c>
      <c r="Y22" s="16"/>
      <c r="Z22" s="161" t="s">
        <v>126</v>
      </c>
      <c r="AA22" s="42" t="s">
        <v>126</v>
      </c>
      <c r="AB22" s="15" t="s">
        <v>126</v>
      </c>
      <c r="AC22" s="15" t="s">
        <v>126</v>
      </c>
      <c r="AD22" s="40" t="s">
        <v>126</v>
      </c>
      <c r="AE22" s="42" t="s">
        <v>127</v>
      </c>
      <c r="AF22" s="42" t="s">
        <v>127</v>
      </c>
      <c r="AG22" s="42" t="s">
        <v>127</v>
      </c>
      <c r="AH22" s="42" t="s">
        <v>127</v>
      </c>
      <c r="AI22" s="17" t="s">
        <v>127</v>
      </c>
      <c r="AJ22" s="41" t="s">
        <v>127</v>
      </c>
      <c r="AK22" s="161" t="s">
        <v>128</v>
      </c>
      <c r="AL22" s="40" t="s">
        <v>129</v>
      </c>
      <c r="AM22" s="161" t="s">
        <v>8</v>
      </c>
      <c r="AN22" s="10"/>
      <c r="AO22" s="16"/>
      <c r="AP22" s="41" t="s">
        <v>50</v>
      </c>
      <c r="AQ22" s="40" t="s">
        <v>126</v>
      </c>
      <c r="AR22" s="42" t="s">
        <v>127</v>
      </c>
      <c r="AS22" s="42" t="s">
        <v>34</v>
      </c>
      <c r="AT22" s="17" t="s">
        <v>13</v>
      </c>
      <c r="AU22" s="40" t="s">
        <v>34</v>
      </c>
      <c r="AV22" s="10"/>
      <c r="AW22" s="13"/>
      <c r="AX22" s="17" t="s">
        <v>29</v>
      </c>
      <c r="AY22" s="42" t="s">
        <v>13</v>
      </c>
      <c r="AZ22" s="17"/>
      <c r="BA22" s="54"/>
      <c r="BB22" s="58" t="s">
        <v>7</v>
      </c>
      <c r="BC22" s="44" t="s">
        <v>8</v>
      </c>
    </row>
    <row r="23" spans="2:55" ht="11.25">
      <c r="B23" s="93"/>
      <c r="C23" s="498"/>
      <c r="D23" s="54"/>
      <c r="E23" s="76"/>
      <c r="F23" s="44"/>
      <c r="G23" s="64"/>
      <c r="H23" s="64"/>
      <c r="I23" s="64"/>
      <c r="J23" s="64"/>
      <c r="K23" s="64"/>
      <c r="L23" s="69"/>
      <c r="M23" s="14" t="s">
        <v>1</v>
      </c>
      <c r="N23" s="71"/>
      <c r="O23" s="72" t="s">
        <v>62</v>
      </c>
      <c r="P23" s="72" t="s">
        <v>63</v>
      </c>
      <c r="Q23" s="12" t="s">
        <v>26</v>
      </c>
      <c r="R23" s="11"/>
      <c r="S23" s="11"/>
      <c r="T23" s="14" t="s">
        <v>130</v>
      </c>
      <c r="U23" s="16"/>
      <c r="V23" s="41" t="s">
        <v>51</v>
      </c>
      <c r="W23" s="40" t="s">
        <v>52</v>
      </c>
      <c r="X23" s="14" t="s">
        <v>18</v>
      </c>
      <c r="Y23" s="17" t="s">
        <v>30</v>
      </c>
      <c r="Z23" s="161" t="s">
        <v>131</v>
      </c>
      <c r="AA23" s="42" t="s">
        <v>132</v>
      </c>
      <c r="AB23" s="15" t="s">
        <v>72</v>
      </c>
      <c r="AC23" s="15" t="s">
        <v>61</v>
      </c>
      <c r="AD23" s="40" t="s">
        <v>62</v>
      </c>
      <c r="AE23" s="42" t="s">
        <v>133</v>
      </c>
      <c r="AF23" s="42" t="s">
        <v>132</v>
      </c>
      <c r="AG23" s="42" t="s">
        <v>72</v>
      </c>
      <c r="AH23" s="42" t="s">
        <v>61</v>
      </c>
      <c r="AI23" s="17" t="s">
        <v>87</v>
      </c>
      <c r="AJ23" s="41" t="s">
        <v>62</v>
      </c>
      <c r="AK23" s="161" t="s">
        <v>131</v>
      </c>
      <c r="AL23" s="40" t="s">
        <v>131</v>
      </c>
      <c r="AM23" s="161" t="s">
        <v>67</v>
      </c>
      <c r="AN23" s="42" t="s">
        <v>14</v>
      </c>
      <c r="AO23" s="17" t="s">
        <v>36</v>
      </c>
      <c r="AP23" s="44" t="s">
        <v>37</v>
      </c>
      <c r="AQ23" s="40" t="s">
        <v>85</v>
      </c>
      <c r="AR23" s="42" t="s">
        <v>85</v>
      </c>
      <c r="AS23" s="15" t="s">
        <v>33</v>
      </c>
      <c r="AT23" s="41" t="s">
        <v>14</v>
      </c>
      <c r="AU23" s="41" t="s">
        <v>51</v>
      </c>
      <c r="AV23" s="15" t="s">
        <v>9</v>
      </c>
      <c r="AW23" s="14" t="s">
        <v>10</v>
      </c>
      <c r="AX23" s="17" t="s">
        <v>46</v>
      </c>
      <c r="AY23" s="42" t="s">
        <v>41</v>
      </c>
      <c r="AZ23" s="17" t="s">
        <v>42</v>
      </c>
      <c r="BA23" s="57" t="s">
        <v>134</v>
      </c>
      <c r="BB23" s="58" t="s">
        <v>39</v>
      </c>
      <c r="BC23" s="44" t="s">
        <v>39</v>
      </c>
    </row>
    <row r="24" spans="2:55" ht="11.25">
      <c r="B24" s="93"/>
      <c r="C24" s="498"/>
      <c r="D24" s="54"/>
      <c r="E24" s="76"/>
      <c r="F24" s="44"/>
      <c r="G24" s="73" t="s">
        <v>59</v>
      </c>
      <c r="H24" s="10" t="s">
        <v>56</v>
      </c>
      <c r="I24" s="15" t="s">
        <v>47</v>
      </c>
      <c r="J24" s="15" t="s">
        <v>0</v>
      </c>
      <c r="K24" s="15" t="s">
        <v>2</v>
      </c>
      <c r="L24" s="15" t="s">
        <v>3</v>
      </c>
      <c r="M24" s="14" t="s">
        <v>19</v>
      </c>
      <c r="N24" s="15" t="s">
        <v>4</v>
      </c>
      <c r="O24" s="15" t="s">
        <v>19</v>
      </c>
      <c r="P24" s="15" t="s">
        <v>56</v>
      </c>
      <c r="Q24" s="12" t="s">
        <v>16</v>
      </c>
      <c r="R24" s="15" t="s">
        <v>21</v>
      </c>
      <c r="S24" s="15" t="s">
        <v>48</v>
      </c>
      <c r="T24" s="14" t="s">
        <v>49</v>
      </c>
      <c r="U24" s="17" t="s">
        <v>5</v>
      </c>
      <c r="V24" s="41" t="s">
        <v>53</v>
      </c>
      <c r="W24" s="40" t="s">
        <v>135</v>
      </c>
      <c r="X24" s="14" t="s">
        <v>32</v>
      </c>
      <c r="Y24" s="17" t="s">
        <v>31</v>
      </c>
      <c r="Z24" s="161"/>
      <c r="AA24" s="42" t="s">
        <v>71</v>
      </c>
      <c r="AB24" s="15"/>
      <c r="AC24" s="15" t="s">
        <v>7</v>
      </c>
      <c r="AD24" s="40"/>
      <c r="AE24" s="42"/>
      <c r="AF24" s="42" t="s">
        <v>71</v>
      </c>
      <c r="AG24" s="42"/>
      <c r="AH24" s="42"/>
      <c r="AI24" s="17" t="s">
        <v>86</v>
      </c>
      <c r="AJ24" s="41"/>
      <c r="AK24" s="161"/>
      <c r="AL24" s="40"/>
      <c r="AM24" s="161" t="s">
        <v>27</v>
      </c>
      <c r="AN24" s="42"/>
      <c r="AO24" s="17"/>
      <c r="AP24" s="41" t="s">
        <v>54</v>
      </c>
      <c r="AQ24" s="40"/>
      <c r="AR24" s="42"/>
      <c r="AS24" s="11"/>
      <c r="AT24" s="16"/>
      <c r="AU24" s="54"/>
      <c r="AV24" s="10"/>
      <c r="AW24" s="11"/>
      <c r="AX24" s="16"/>
      <c r="AY24" s="10"/>
      <c r="AZ24" s="16"/>
      <c r="BA24" s="93"/>
      <c r="BB24" s="93"/>
      <c r="BC24" s="93"/>
    </row>
    <row r="25" spans="2:55" ht="12" thickBot="1">
      <c r="B25" s="381"/>
      <c r="C25" s="499" t="s">
        <v>246</v>
      </c>
      <c r="D25" s="54"/>
      <c r="E25" s="77"/>
      <c r="F25" s="62"/>
      <c r="G25" s="18" t="s">
        <v>60</v>
      </c>
      <c r="H25" s="18" t="s">
        <v>11</v>
      </c>
      <c r="I25" s="1" t="s">
        <v>43</v>
      </c>
      <c r="J25" s="1" t="s">
        <v>40</v>
      </c>
      <c r="K25" s="1" t="s">
        <v>40</v>
      </c>
      <c r="L25" s="1" t="s">
        <v>44</v>
      </c>
      <c r="M25" s="20" t="s">
        <v>40</v>
      </c>
      <c r="N25" s="1" t="s">
        <v>44</v>
      </c>
      <c r="O25" s="1" t="s">
        <v>40</v>
      </c>
      <c r="P25" s="1" t="s">
        <v>57</v>
      </c>
      <c r="Q25" s="19" t="s">
        <v>40</v>
      </c>
      <c r="R25" s="1" t="s">
        <v>12</v>
      </c>
      <c r="S25" s="1" t="s">
        <v>40</v>
      </c>
      <c r="T25" s="20" t="s">
        <v>35</v>
      </c>
      <c r="U25" s="21" t="s">
        <v>40</v>
      </c>
      <c r="V25" s="46" t="s">
        <v>45</v>
      </c>
      <c r="W25" s="284" t="s">
        <v>35</v>
      </c>
      <c r="X25" s="20" t="s">
        <v>24</v>
      </c>
      <c r="Y25" s="21" t="s">
        <v>22</v>
      </c>
      <c r="Z25" s="285" t="s">
        <v>31</v>
      </c>
      <c r="AA25" s="2" t="s">
        <v>31</v>
      </c>
      <c r="AB25" s="1" t="s">
        <v>31</v>
      </c>
      <c r="AC25" s="1" t="s">
        <v>31</v>
      </c>
      <c r="AD25" s="284" t="s">
        <v>31</v>
      </c>
      <c r="AE25" s="2" t="s">
        <v>11</v>
      </c>
      <c r="AF25" s="2" t="s">
        <v>11</v>
      </c>
      <c r="AG25" s="2" t="s">
        <v>11</v>
      </c>
      <c r="AH25" s="2" t="s">
        <v>11</v>
      </c>
      <c r="AI25" s="21" t="s">
        <v>11</v>
      </c>
      <c r="AJ25" s="46" t="s">
        <v>11</v>
      </c>
      <c r="AK25" s="285" t="s">
        <v>31</v>
      </c>
      <c r="AL25" s="284" t="s">
        <v>31</v>
      </c>
      <c r="AM25" s="286"/>
      <c r="AN25" s="2" t="s">
        <v>45</v>
      </c>
      <c r="AO25" s="21" t="s">
        <v>35</v>
      </c>
      <c r="AP25" s="49" t="s">
        <v>23</v>
      </c>
      <c r="AQ25" s="284" t="s">
        <v>31</v>
      </c>
      <c r="AR25" s="2" t="s">
        <v>11</v>
      </c>
      <c r="AS25" s="47" t="s">
        <v>38</v>
      </c>
      <c r="AT25" s="46" t="s">
        <v>45</v>
      </c>
      <c r="AU25" s="46" t="s">
        <v>45</v>
      </c>
      <c r="AV25" s="1" t="s">
        <v>40</v>
      </c>
      <c r="AW25" s="1" t="s">
        <v>40</v>
      </c>
      <c r="AX25" s="49" t="s">
        <v>38</v>
      </c>
      <c r="AY25" s="2" t="s">
        <v>40</v>
      </c>
      <c r="AZ25" s="21" t="s">
        <v>40</v>
      </c>
      <c r="BA25" s="49" t="s">
        <v>40</v>
      </c>
      <c r="BB25" s="61" t="s">
        <v>23</v>
      </c>
      <c r="BC25" s="62" t="s">
        <v>23</v>
      </c>
    </row>
    <row r="26" spans="2:55" ht="12" thickBot="1">
      <c r="B26" s="381">
        <v>2</v>
      </c>
      <c r="C26" s="511">
        <f>B26*R26*$H26/1000</f>
        <v>4.4</v>
      </c>
      <c r="D26" s="54"/>
      <c r="E26" s="322" t="s">
        <v>136</v>
      </c>
      <c r="F26" s="466" t="s">
        <v>137</v>
      </c>
      <c r="G26" s="467" t="s">
        <v>139</v>
      </c>
      <c r="H26" s="324">
        <v>55</v>
      </c>
      <c r="I26" s="325">
        <v>16.2</v>
      </c>
      <c r="J26" s="325">
        <v>20.8</v>
      </c>
      <c r="K26" s="326">
        <v>0.375</v>
      </c>
      <c r="L26" s="327">
        <v>50</v>
      </c>
      <c r="M26" s="99">
        <v>1.5</v>
      </c>
      <c r="N26" s="327">
        <v>4</v>
      </c>
      <c r="O26" s="325">
        <v>4</v>
      </c>
      <c r="P26" s="327">
        <v>115</v>
      </c>
      <c r="Q26" s="328">
        <v>46.5</v>
      </c>
      <c r="R26" s="325">
        <v>40</v>
      </c>
      <c r="S26" s="329">
        <f>MIN((R26/4)*12,Q26)</f>
        <v>46.5</v>
      </c>
      <c r="T26" s="330">
        <f>0.85*N26*(O26-M26)*S26</f>
        <v>395.25</v>
      </c>
      <c r="U26" s="331">
        <f>O26-M26</f>
        <v>2.5</v>
      </c>
      <c r="V26" s="332">
        <v>702</v>
      </c>
      <c r="W26" s="333">
        <f>0.6*L26*J26*K26</f>
        <v>234</v>
      </c>
      <c r="X26" s="99">
        <v>17.2</v>
      </c>
      <c r="Y26" s="334">
        <f>(T26/X26)*2</f>
        <v>45.9593023255814</v>
      </c>
      <c r="Z26" s="335">
        <v>472.5</v>
      </c>
      <c r="AA26" s="328">
        <v>4050</v>
      </c>
      <c r="AB26" s="336">
        <v>216</v>
      </c>
      <c r="AC26" s="328">
        <v>3915</v>
      </c>
      <c r="AD26" s="337">
        <f>SUM(Z26:AC26)</f>
        <v>8653.5</v>
      </c>
      <c r="AE26" s="338">
        <f>H26</f>
        <v>55</v>
      </c>
      <c r="AF26" s="339">
        <v>217.5</v>
      </c>
      <c r="AG26" s="339">
        <v>11.6</v>
      </c>
      <c r="AH26" s="339">
        <v>210.3</v>
      </c>
      <c r="AI26" s="340">
        <v>520</v>
      </c>
      <c r="AJ26" s="341">
        <f>SUM(AF26:AI26)</f>
        <v>959.4</v>
      </c>
      <c r="AK26" s="342">
        <v>10800</v>
      </c>
      <c r="AL26" s="342">
        <v>580</v>
      </c>
      <c r="AM26" s="329" t="e">
        <f>IF(0.25+(15/($F$10*R26*(Q26/12))^0.5)&gt;0.5,IF(0.25+(15/($F$10*R26*(Q26/12))^0.5)&gt;1,1,0.25+(15/($F$10*R26*(Q26/12))^0.5)),0.5)</f>
        <v>#DIV/0!</v>
      </c>
      <c r="AN26" s="329">
        <f>(1.2*(((AJ26*R26*R26)/8000)+((AD26*R26)/4000)))+(1.6*(((AL26*R26*R26)/8000)+((AK26*R26)/4000)))</f>
        <v>692.498</v>
      </c>
      <c r="AO26" s="334">
        <f>(1.2*((AJ26*R26*0.0005)+(AD26/2000)))+(1.6*((AL26*R26*0.0005)+(AK26/2000)))</f>
        <v>55.417699999999996</v>
      </c>
      <c r="AP26" s="343" t="str">
        <f>IF(AND(V26&gt;AN26,W26&gt;AO26),"OK","NG")</f>
        <v>OK</v>
      </c>
      <c r="AQ26" s="344">
        <f>Z26+AB26+AC26</f>
        <v>4603.5</v>
      </c>
      <c r="AR26" s="345">
        <f>AE26+AG26+AH26</f>
        <v>276.9</v>
      </c>
      <c r="AS26" s="328">
        <v>1140</v>
      </c>
      <c r="AT26" s="346">
        <f>(AQ26*R26*R26)/8000</f>
        <v>920.7</v>
      </c>
      <c r="AU26" s="347"/>
      <c r="AV26" s="348">
        <v>2.505</v>
      </c>
      <c r="AW26" s="349">
        <f>O26-U26/2</f>
        <v>2.75</v>
      </c>
      <c r="AX26" s="350">
        <v>2035</v>
      </c>
      <c r="AY26" s="351">
        <f>(5*((AR26/12))*((R26*12)^4))/(384*29000000*AS26)+((AQ26*((R26*12)^3))/(48*29000000*AS26))</f>
        <v>0.8032638838475499</v>
      </c>
      <c r="AZ26" s="346">
        <f>(5*((AL26/12))*((R26*12)^4))/(384*29000000*AX26)+((AK26*((R26*12)^3))/(48*29000000*AX26))</f>
        <v>0.987735321528425</v>
      </c>
      <c r="BA26" s="352">
        <f>(R26/400)*12</f>
        <v>1.2000000000000002</v>
      </c>
      <c r="BB26" s="353" t="str">
        <f>IF(AY26&gt;BA26,"NG","OK")</f>
        <v>OK</v>
      </c>
      <c r="BC26" s="343" t="str">
        <f>IF(AZ26&gt;BA26,"NG","OK")</f>
        <v>OK</v>
      </c>
    </row>
    <row r="27" spans="2:59" ht="11.25">
      <c r="B27" s="166"/>
      <c r="C27" s="501"/>
      <c r="D27" s="13"/>
      <c r="E27" s="281"/>
      <c r="F27" s="281"/>
      <c r="G27" s="281"/>
      <c r="H27" s="281"/>
      <c r="I27" s="317"/>
      <c r="J27" s="317"/>
      <c r="K27" s="318"/>
      <c r="L27" s="13"/>
      <c r="M27" s="13"/>
      <c r="N27" s="13"/>
      <c r="O27" s="317"/>
      <c r="P27" s="13"/>
      <c r="Q27" s="319"/>
      <c r="R27" s="317"/>
      <c r="S27" s="168"/>
      <c r="T27" s="170"/>
      <c r="U27" s="169"/>
      <c r="V27" s="241"/>
      <c r="W27" s="320" t="s">
        <v>140</v>
      </c>
      <c r="X27" s="172"/>
      <c r="Y27" s="167"/>
      <c r="Z27" s="172"/>
      <c r="AA27" s="172"/>
      <c r="AB27" s="13"/>
      <c r="AC27" s="13"/>
      <c r="AD27" s="9"/>
      <c r="AE27" s="173"/>
      <c r="AF27" s="173"/>
      <c r="AG27" s="173"/>
      <c r="AH27" s="173"/>
      <c r="AI27" s="173"/>
      <c r="AJ27" s="173"/>
      <c r="AK27" s="173"/>
      <c r="AL27" s="173"/>
      <c r="AM27" s="173"/>
      <c r="AN27" s="317"/>
      <c r="AO27" s="168"/>
      <c r="AP27" s="172"/>
      <c r="AQ27" s="166"/>
      <c r="AS27" s="172"/>
      <c r="AT27" s="172"/>
      <c r="AU27" s="172"/>
      <c r="AV27" s="172"/>
      <c r="AW27" s="172"/>
      <c r="AX27" s="317"/>
      <c r="AY27" s="13"/>
      <c r="AZ27" s="321" t="s">
        <v>141</v>
      </c>
      <c r="BA27" s="169"/>
      <c r="BB27" s="167"/>
      <c r="BC27" s="168"/>
      <c r="BD27" s="168"/>
      <c r="BE27" s="168"/>
      <c r="BF27" s="166"/>
      <c r="BG27" s="166"/>
    </row>
    <row r="28" spans="5:59" ht="12" thickBot="1">
      <c r="E28" s="276"/>
      <c r="F28" s="277" t="s">
        <v>120</v>
      </c>
      <c r="G28" s="278"/>
      <c r="H28" s="278"/>
      <c r="I28" s="279" t="s">
        <v>121</v>
      </c>
      <c r="J28" s="279"/>
      <c r="K28" s="280" t="s">
        <v>122</v>
      </c>
      <c r="L28" s="167"/>
      <c r="R28" s="241"/>
      <c r="U28" s="9"/>
      <c r="V28" s="9"/>
      <c r="AQ28" s="13"/>
      <c r="BG28" s="13"/>
    </row>
    <row r="29" spans="5:21" ht="12" thickTop="1">
      <c r="E29" s="241"/>
      <c r="H29" s="8" t="s">
        <v>21</v>
      </c>
      <c r="J29" s="281"/>
      <c r="K29" s="167"/>
      <c r="L29" s="167"/>
      <c r="R29" s="241"/>
      <c r="U29" s="9"/>
    </row>
    <row r="30" spans="5:21" ht="11.25">
      <c r="E30" s="276"/>
      <c r="F30" s="8"/>
      <c r="J30" s="13"/>
      <c r="K30" s="10"/>
      <c r="L30" s="13"/>
      <c r="M30" s="13"/>
      <c r="N30" s="13"/>
      <c r="O30" s="13"/>
      <c r="P30" s="13"/>
      <c r="Q30" s="13"/>
      <c r="R30" s="13"/>
      <c r="S30" s="13"/>
      <c r="T30" s="13"/>
      <c r="U30" s="319"/>
    </row>
    <row r="31" spans="2:43" ht="12" thickBot="1">
      <c r="B31" s="36"/>
      <c r="F31" s="411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2:58" s="174" customFormat="1" ht="12" thickBot="1">
      <c r="B32" s="138"/>
      <c r="C32" s="502"/>
      <c r="D32" s="175"/>
      <c r="E32" s="412" t="s">
        <v>193</v>
      </c>
      <c r="F32" s="417" t="s">
        <v>155</v>
      </c>
      <c r="G32" s="176"/>
      <c r="H32" s="176"/>
      <c r="I32" s="176"/>
      <c r="J32" s="176"/>
      <c r="K32" s="38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413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Q32" s="415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413"/>
    </row>
    <row r="33" spans="2:58" ht="11.25">
      <c r="B33" s="446" t="s">
        <v>244</v>
      </c>
      <c r="C33" s="497" t="s">
        <v>56</v>
      </c>
      <c r="D33" s="54"/>
      <c r="E33" s="76" t="s">
        <v>124</v>
      </c>
      <c r="F33" s="56" t="s">
        <v>124</v>
      </c>
      <c r="G33" s="6" t="s">
        <v>58</v>
      </c>
      <c r="H33" s="6"/>
      <c r="I33" s="188"/>
      <c r="J33" s="6"/>
      <c r="K33" s="6"/>
      <c r="L33" s="6"/>
      <c r="M33" s="6"/>
      <c r="N33" s="6"/>
      <c r="O33" s="6"/>
      <c r="P33" s="3"/>
      <c r="Q33" s="38" t="s">
        <v>34</v>
      </c>
      <c r="R33" s="70"/>
      <c r="S33" s="26" t="s">
        <v>61</v>
      </c>
      <c r="T33" s="50"/>
      <c r="U33" s="5" t="s">
        <v>25</v>
      </c>
      <c r="V33" s="4"/>
      <c r="W33" s="4"/>
      <c r="X33" s="14" t="s">
        <v>49</v>
      </c>
      <c r="Y33" s="7"/>
      <c r="Z33" s="37"/>
      <c r="AA33" s="163" t="s">
        <v>96</v>
      </c>
      <c r="AB33" s="159"/>
      <c r="AC33" s="38" t="s">
        <v>17</v>
      </c>
      <c r="AD33" s="4"/>
      <c r="AE33" s="15" t="s">
        <v>7</v>
      </c>
      <c r="AF33" s="15" t="s">
        <v>7</v>
      </c>
      <c r="AG33" s="259" t="s">
        <v>7</v>
      </c>
      <c r="AH33" s="14" t="s">
        <v>7</v>
      </c>
      <c r="AI33" s="15" t="s">
        <v>7</v>
      </c>
      <c r="AJ33" s="45" t="s">
        <v>8</v>
      </c>
      <c r="AK33" s="98" t="s">
        <v>8</v>
      </c>
      <c r="AL33" s="43" t="s">
        <v>8</v>
      </c>
      <c r="AM33" s="43" t="s">
        <v>97</v>
      </c>
      <c r="AN33" s="12" t="s">
        <v>98</v>
      </c>
      <c r="AO33" s="3"/>
      <c r="AP33" s="7"/>
      <c r="AQ33" s="39" t="s">
        <v>50</v>
      </c>
      <c r="AR33" s="42" t="s">
        <v>7</v>
      </c>
      <c r="AS33" s="14" t="s">
        <v>7</v>
      </c>
      <c r="AT33" s="15" t="s">
        <v>8</v>
      </c>
      <c r="AU33" s="15" t="s">
        <v>8</v>
      </c>
      <c r="AV33" s="42" t="s">
        <v>34</v>
      </c>
      <c r="AW33" s="41" t="s">
        <v>14</v>
      </c>
      <c r="AX33" s="41" t="s">
        <v>51</v>
      </c>
      <c r="AY33" s="15" t="s">
        <v>9</v>
      </c>
      <c r="AZ33" s="15" t="s">
        <v>10</v>
      </c>
      <c r="BA33" s="17" t="s">
        <v>29</v>
      </c>
      <c r="BB33" s="42" t="s">
        <v>41</v>
      </c>
      <c r="BC33" s="41" t="s">
        <v>42</v>
      </c>
      <c r="BD33" s="57" t="s">
        <v>99</v>
      </c>
      <c r="BE33" s="55" t="s">
        <v>7</v>
      </c>
      <c r="BF33" s="56" t="s">
        <v>8</v>
      </c>
    </row>
    <row r="34" spans="2:58" ht="11.25">
      <c r="B34" s="93"/>
      <c r="C34" s="498"/>
      <c r="D34" s="54"/>
      <c r="E34" s="76"/>
      <c r="F34" s="44"/>
      <c r="G34" s="64"/>
      <c r="H34" s="64"/>
      <c r="I34" s="65"/>
      <c r="J34" s="64"/>
      <c r="K34" s="64"/>
      <c r="L34" s="64"/>
      <c r="M34" s="64"/>
      <c r="N34" s="64"/>
      <c r="O34" s="64"/>
      <c r="P34" s="69"/>
      <c r="Q34" s="14" t="s">
        <v>1</v>
      </c>
      <c r="R34" s="71"/>
      <c r="S34" s="72" t="s">
        <v>62</v>
      </c>
      <c r="T34" s="72" t="s">
        <v>63</v>
      </c>
      <c r="U34" s="12" t="s">
        <v>26</v>
      </c>
      <c r="V34" s="11"/>
      <c r="W34" s="11"/>
      <c r="Y34" s="16"/>
      <c r="Z34" s="41" t="s">
        <v>51</v>
      </c>
      <c r="AA34" s="160" t="s">
        <v>74</v>
      </c>
      <c r="AB34" s="41" t="s">
        <v>52</v>
      </c>
      <c r="AC34" s="14" t="s">
        <v>18</v>
      </c>
      <c r="AD34" s="15" t="s">
        <v>30</v>
      </c>
      <c r="AE34" s="15" t="s">
        <v>70</v>
      </c>
      <c r="AF34" s="15" t="s">
        <v>34</v>
      </c>
      <c r="AG34" s="15" t="s">
        <v>61</v>
      </c>
      <c r="AH34" s="98" t="s">
        <v>87</v>
      </c>
      <c r="AI34" s="15" t="s">
        <v>62</v>
      </c>
      <c r="AJ34" s="10"/>
      <c r="AK34" s="98" t="s">
        <v>67</v>
      </c>
      <c r="AL34" s="43" t="s">
        <v>81</v>
      </c>
      <c r="AM34" s="43" t="s">
        <v>15</v>
      </c>
      <c r="AN34" s="12"/>
      <c r="AO34" s="42" t="s">
        <v>14</v>
      </c>
      <c r="AP34" s="17" t="s">
        <v>36</v>
      </c>
      <c r="AQ34" s="44" t="s">
        <v>37</v>
      </c>
      <c r="AR34" s="42" t="s">
        <v>85</v>
      </c>
      <c r="AS34" s="13"/>
      <c r="AT34" s="11"/>
      <c r="AU34" s="11"/>
      <c r="AV34" s="42" t="s">
        <v>33</v>
      </c>
      <c r="AW34" s="17" t="s">
        <v>85</v>
      </c>
      <c r="AX34" s="40" t="s">
        <v>34</v>
      </c>
      <c r="AY34" s="10"/>
      <c r="AZ34" s="13"/>
      <c r="BA34" s="17" t="s">
        <v>46</v>
      </c>
      <c r="BB34" s="42" t="s">
        <v>13</v>
      </c>
      <c r="BC34" s="41"/>
      <c r="BD34" s="54"/>
      <c r="BE34" s="58" t="s">
        <v>39</v>
      </c>
      <c r="BF34" s="44" t="s">
        <v>39</v>
      </c>
    </row>
    <row r="35" spans="2:58" ht="11.25">
      <c r="B35" s="93"/>
      <c r="C35" s="498"/>
      <c r="D35" s="54"/>
      <c r="E35" s="76"/>
      <c r="F35" s="44"/>
      <c r="G35" s="73" t="s">
        <v>59</v>
      </c>
      <c r="H35" s="10" t="s">
        <v>56</v>
      </c>
      <c r="I35" s="269" t="s">
        <v>88</v>
      </c>
      <c r="J35" s="15" t="s">
        <v>47</v>
      </c>
      <c r="K35" s="15" t="s">
        <v>0</v>
      </c>
      <c r="L35" s="15" t="s">
        <v>2</v>
      </c>
      <c r="M35" s="15" t="s">
        <v>90</v>
      </c>
      <c r="N35" s="15" t="s">
        <v>91</v>
      </c>
      <c r="O35" s="15" t="s">
        <v>95</v>
      </c>
      <c r="P35" s="15" t="s">
        <v>3</v>
      </c>
      <c r="Q35" s="14" t="s">
        <v>19</v>
      </c>
      <c r="R35" s="15" t="s">
        <v>4</v>
      </c>
      <c r="S35" s="15" t="s">
        <v>19</v>
      </c>
      <c r="T35" s="15" t="s">
        <v>56</v>
      </c>
      <c r="U35" s="12" t="s">
        <v>16</v>
      </c>
      <c r="V35" s="15" t="s">
        <v>21</v>
      </c>
      <c r="W35" s="15" t="s">
        <v>48</v>
      </c>
      <c r="X35" s="14" t="s">
        <v>6</v>
      </c>
      <c r="Y35" s="17" t="s">
        <v>5</v>
      </c>
      <c r="Z35" s="41" t="s">
        <v>53</v>
      </c>
      <c r="AA35" s="161"/>
      <c r="AB35" s="41"/>
      <c r="AC35" s="14" t="s">
        <v>32</v>
      </c>
      <c r="AD35" s="15" t="s">
        <v>31</v>
      </c>
      <c r="AE35" s="15" t="s">
        <v>71</v>
      </c>
      <c r="AF35" s="15" t="s">
        <v>72</v>
      </c>
      <c r="AG35" s="15"/>
      <c r="AH35" s="98" t="s">
        <v>86</v>
      </c>
      <c r="AI35" s="15"/>
      <c r="AJ35" s="11"/>
      <c r="AK35" s="98" t="s">
        <v>27</v>
      </c>
      <c r="AL35" s="43" t="s">
        <v>82</v>
      </c>
      <c r="AM35" s="15" t="s">
        <v>83</v>
      </c>
      <c r="AN35" s="42" t="s">
        <v>83</v>
      </c>
      <c r="AO35" s="42"/>
      <c r="AP35" s="17"/>
      <c r="AQ35" s="41" t="s">
        <v>54</v>
      </c>
      <c r="AR35" s="134"/>
      <c r="AS35" s="11"/>
      <c r="AT35" s="11"/>
      <c r="AU35" s="11"/>
      <c r="AV35" s="11"/>
      <c r="AW35" s="16"/>
      <c r="AX35" s="40" t="s">
        <v>84</v>
      </c>
      <c r="AY35" s="10"/>
      <c r="AZ35" s="11"/>
      <c r="BA35" s="54"/>
      <c r="BB35" s="10"/>
      <c r="BC35" s="16"/>
      <c r="BD35" s="93"/>
      <c r="BE35" s="93"/>
      <c r="BF35" s="93"/>
    </row>
    <row r="36" spans="2:58" ht="12" thickBot="1">
      <c r="B36" s="381"/>
      <c r="C36" s="499" t="s">
        <v>246</v>
      </c>
      <c r="D36" s="54"/>
      <c r="E36" s="77"/>
      <c r="F36" s="62"/>
      <c r="G36" s="18" t="s">
        <v>60</v>
      </c>
      <c r="H36" s="18" t="s">
        <v>11</v>
      </c>
      <c r="I36" s="270"/>
      <c r="J36" s="1" t="s">
        <v>43</v>
      </c>
      <c r="K36" s="1" t="s">
        <v>40</v>
      </c>
      <c r="L36" s="1" t="s">
        <v>40</v>
      </c>
      <c r="M36" s="1"/>
      <c r="N36" s="1"/>
      <c r="O36" s="1"/>
      <c r="P36" s="1" t="s">
        <v>44</v>
      </c>
      <c r="Q36" s="20" t="s">
        <v>40</v>
      </c>
      <c r="R36" s="1" t="s">
        <v>44</v>
      </c>
      <c r="S36" s="1" t="s">
        <v>40</v>
      </c>
      <c r="T36" s="1" t="s">
        <v>57</v>
      </c>
      <c r="U36" s="19" t="s">
        <v>40</v>
      </c>
      <c r="V36" s="1" t="s">
        <v>12</v>
      </c>
      <c r="W36" s="1" t="s">
        <v>40</v>
      </c>
      <c r="X36" s="20" t="s">
        <v>35</v>
      </c>
      <c r="Y36" s="21" t="s">
        <v>40</v>
      </c>
      <c r="Z36" s="46" t="s">
        <v>45</v>
      </c>
      <c r="AA36" s="285"/>
      <c r="AB36" s="46" t="s">
        <v>35</v>
      </c>
      <c r="AC36" s="20" t="s">
        <v>24</v>
      </c>
      <c r="AD36" s="1" t="s">
        <v>22</v>
      </c>
      <c r="AE36" s="1" t="s">
        <v>28</v>
      </c>
      <c r="AF36" s="1" t="s">
        <v>28</v>
      </c>
      <c r="AG36" s="1" t="s">
        <v>28</v>
      </c>
      <c r="AH36" s="2" t="s">
        <v>11</v>
      </c>
      <c r="AI36" s="1" t="s">
        <v>11</v>
      </c>
      <c r="AJ36" s="47" t="s">
        <v>28</v>
      </c>
      <c r="AK36" s="286"/>
      <c r="AL36" s="48" t="s">
        <v>11</v>
      </c>
      <c r="AM36" s="354" t="s">
        <v>11</v>
      </c>
      <c r="AN36" s="309" t="s">
        <v>11</v>
      </c>
      <c r="AO36" s="2" t="s">
        <v>45</v>
      </c>
      <c r="AP36" s="21" t="s">
        <v>35</v>
      </c>
      <c r="AQ36" s="49" t="s">
        <v>23</v>
      </c>
      <c r="AR36" s="135" t="s">
        <v>11</v>
      </c>
      <c r="AS36" s="59" t="s">
        <v>20</v>
      </c>
      <c r="AT36" s="60" t="s">
        <v>11</v>
      </c>
      <c r="AU36" s="60" t="s">
        <v>20</v>
      </c>
      <c r="AV36" s="47" t="s">
        <v>38</v>
      </c>
      <c r="AW36" s="46" t="s">
        <v>45</v>
      </c>
      <c r="AX36" s="46" t="s">
        <v>45</v>
      </c>
      <c r="AY36" s="1" t="s">
        <v>40</v>
      </c>
      <c r="AZ36" s="1" t="s">
        <v>40</v>
      </c>
      <c r="BA36" s="49" t="s">
        <v>38</v>
      </c>
      <c r="BB36" s="2" t="s">
        <v>40</v>
      </c>
      <c r="BC36" s="46" t="s">
        <v>40</v>
      </c>
      <c r="BD36" s="136" t="s">
        <v>40</v>
      </c>
      <c r="BE36" s="61" t="s">
        <v>23</v>
      </c>
      <c r="BF36" s="61" t="s">
        <v>23</v>
      </c>
    </row>
    <row r="37" spans="2:58" ht="11.25">
      <c r="B37" s="118">
        <v>1</v>
      </c>
      <c r="C37" s="503">
        <f aca="true" t="shared" si="0" ref="C37:C48">B37*V37*$H37/1000</f>
        <v>0.75</v>
      </c>
      <c r="D37" s="54"/>
      <c r="E37" s="250" t="s">
        <v>183</v>
      </c>
      <c r="F37" s="78" t="s">
        <v>184</v>
      </c>
      <c r="G37" s="179" t="s">
        <v>163</v>
      </c>
      <c r="H37" s="287">
        <v>30</v>
      </c>
      <c r="I37" s="271"/>
      <c r="J37" s="22">
        <v>8.85</v>
      </c>
      <c r="K37" s="22">
        <v>13.8</v>
      </c>
      <c r="L37" s="25">
        <v>0.27</v>
      </c>
      <c r="M37" s="25"/>
      <c r="N37" s="25"/>
      <c r="O37" s="208" t="str">
        <f aca="true" t="shared" si="1" ref="O37:O48">IF(M37&lt;1.1*((N37*29000)/P37)^0.5,1,"NO")</f>
        <v>NO</v>
      </c>
      <c r="P37" s="4">
        <v>50</v>
      </c>
      <c r="Q37" s="6">
        <v>1.5</v>
      </c>
      <c r="R37" s="4">
        <v>4</v>
      </c>
      <c r="S37" s="140">
        <v>4</v>
      </c>
      <c r="T37" s="4">
        <v>115</v>
      </c>
      <c r="U37" s="24">
        <v>270</v>
      </c>
      <c r="V37" s="22">
        <v>25</v>
      </c>
      <c r="W37" s="23">
        <f aca="true" t="shared" si="2" ref="W37:W48">MIN((V37/4)*12,U37)</f>
        <v>75</v>
      </c>
      <c r="X37" s="27">
        <f aca="true" t="shared" si="3" ref="X37:X48">J37*P37</f>
        <v>442.5</v>
      </c>
      <c r="Y37" s="28">
        <f aca="true" t="shared" si="4" ref="Y37:Y48">(J37*P37)/(0.85*R37*W37)</f>
        <v>1.7352941176470589</v>
      </c>
      <c r="Z37" s="102">
        <f aca="true" t="shared" si="5" ref="Z37:Z48">(0.9*((J37*P37*(K37/2))+(0.85*R37*Y37*W37*(S37-(Y37/2)))))/12</f>
        <v>332.9487132352941</v>
      </c>
      <c r="AA37" s="162">
        <f aca="true" t="shared" si="6" ref="AA37:AA48">IF(I37="v",0.9,1)</f>
        <v>1</v>
      </c>
      <c r="AB37" s="51">
        <f aca="true" t="shared" si="7" ref="AB37:AB48">IF(O37="NO",AA37*0.6*P37*K37*L37,AA37*0.6*P37*K37*L37*O37)</f>
        <v>111.78</v>
      </c>
      <c r="AC37" s="26">
        <v>17.2</v>
      </c>
      <c r="AD37" s="290">
        <f aca="true" t="shared" si="8" ref="AD37:AD48">(X37/AC37)*2</f>
        <v>51.45348837209303</v>
      </c>
      <c r="AE37" s="288">
        <v>30</v>
      </c>
      <c r="AF37" s="288">
        <v>1.6</v>
      </c>
      <c r="AG37" s="24">
        <v>29</v>
      </c>
      <c r="AH37" s="24">
        <v>0</v>
      </c>
      <c r="AI37" s="356">
        <f aca="true" t="shared" si="9" ref="AI37:AI48">((AE37+AG37+AF37)*(U37/12))+H37+AH37</f>
        <v>1393.5</v>
      </c>
      <c r="AJ37" s="24">
        <v>80</v>
      </c>
      <c r="AK37" s="23">
        <f aca="true" t="shared" si="10" ref="AK37:AK48">IF(0.25+(15/($F$8*V37*(U37/12))^0.5)&gt;0.5,IF(0.25+(15/($F$8*V37*(U37/12))^0.5)&gt;1,1,0.25+(15/($F$8*V37*(U37/12))^0.5)),0.5)</f>
        <v>0.697213595499958</v>
      </c>
      <c r="AL37" s="290">
        <f aca="true" t="shared" si="11" ref="AL37:AL48">(AJ37*AK37)*(U37/12)</f>
        <v>1254.9844718999243</v>
      </c>
      <c r="AM37" s="290">
        <f aca="true" t="shared" si="12" ref="AM37:AM48">(1.2*AI37)+(1.6*AL37)</f>
        <v>3680.175155039879</v>
      </c>
      <c r="AN37" s="290">
        <f aca="true" t="shared" si="13" ref="AN37:AN48">1.4*AI37</f>
        <v>1950.8999999999999</v>
      </c>
      <c r="AO37" s="23">
        <f aca="true" t="shared" si="14" ref="AO37:AO48">MAX((AN37*V37*V37)/8000,(AM37*V37*V37)/8000)</f>
        <v>287.51368398749054</v>
      </c>
      <c r="AP37" s="128">
        <f aca="true" t="shared" si="15" ref="AP37:AP48">MAX(AN37*V37/2000,AM37*V37/2000)</f>
        <v>46.00218943799849</v>
      </c>
      <c r="AQ37" s="90" t="str">
        <f aca="true" t="shared" si="16" ref="AQ37:AQ48">IF(AND(Z37&gt;AO37,AB37&gt;AP37),"OK","NG")</f>
        <v>OK</v>
      </c>
      <c r="AR37" s="103">
        <f aca="true" t="shared" si="17" ref="AR37:AR48">((AF37+AG37)*(U37/12))+H37</f>
        <v>718.5</v>
      </c>
      <c r="AS37" s="289">
        <f aca="true" t="shared" si="18" ref="AS37:AS48">AR37/12</f>
        <v>59.875</v>
      </c>
      <c r="AT37" s="290">
        <f aca="true" t="shared" si="19" ref="AT37:AT48">AJ37*(U37/12)</f>
        <v>1800</v>
      </c>
      <c r="AU37" s="290">
        <f aca="true" t="shared" si="20" ref="AU37:AU48">AT37/12</f>
        <v>150</v>
      </c>
      <c r="AV37" s="24">
        <v>291</v>
      </c>
      <c r="AW37" s="68">
        <f aca="true" t="shared" si="21" ref="AW37:AW48">(AR37*V37*V37)/8000</f>
        <v>56.1328125</v>
      </c>
      <c r="AX37" s="118"/>
      <c r="AY37" s="126">
        <v>0</v>
      </c>
      <c r="AZ37" s="291">
        <f aca="true" t="shared" si="22" ref="AZ37:AZ48">S37-Y37/2</f>
        <v>3.1323529411764706</v>
      </c>
      <c r="BA37" s="66">
        <v>738</v>
      </c>
      <c r="BB37" s="292">
        <f aca="true" t="shared" si="23" ref="BB37:BB48">(5*(AS37)*((V37*12)^4))/(384*29000000*AV37)</f>
        <v>0.748304468094561</v>
      </c>
      <c r="BC37" s="68">
        <f aca="true" t="shared" si="24" ref="BC37:BC48">(5*(AU37)*((V37*12)^4))/(384*29000000*BA37)</f>
        <v>0.7391978553406223</v>
      </c>
      <c r="BD37" s="102">
        <f aca="true" t="shared" si="25" ref="BD37:BD48">(V37/360)*12</f>
        <v>0.8333333333333334</v>
      </c>
      <c r="BE37" s="90" t="str">
        <f aca="true" t="shared" si="26" ref="BE37:BE48">IF(BB37&gt;BD37,"NG","OK")</f>
        <v>OK</v>
      </c>
      <c r="BF37" s="90" t="str">
        <f aca="true" t="shared" si="27" ref="BF37:BF48">IF(BC37&gt;BD37,"NG","OK")</f>
        <v>OK</v>
      </c>
    </row>
    <row r="38" spans="2:58" ht="11.25">
      <c r="B38" s="119">
        <v>1</v>
      </c>
      <c r="C38" s="512">
        <f t="shared" si="0"/>
        <v>0.9625</v>
      </c>
      <c r="D38" s="54"/>
      <c r="E38" s="355" t="s">
        <v>184</v>
      </c>
      <c r="F38" s="178" t="s">
        <v>185</v>
      </c>
      <c r="G38" s="179" t="s">
        <v>158</v>
      </c>
      <c r="H38" s="179">
        <v>35</v>
      </c>
      <c r="I38" s="272"/>
      <c r="J38" s="80">
        <v>10.3</v>
      </c>
      <c r="K38" s="80">
        <v>17.7</v>
      </c>
      <c r="L38" s="296">
        <v>0.3</v>
      </c>
      <c r="M38" s="32"/>
      <c r="N38" s="32"/>
      <c r="O38" s="358" t="str">
        <f t="shared" si="1"/>
        <v>NO</v>
      </c>
      <c r="P38" s="71">
        <v>50</v>
      </c>
      <c r="Q38" s="359">
        <v>1.5</v>
      </c>
      <c r="R38" s="71">
        <v>4</v>
      </c>
      <c r="S38" s="207">
        <v>4</v>
      </c>
      <c r="T38" s="71">
        <v>115</v>
      </c>
      <c r="U38" s="31">
        <v>282</v>
      </c>
      <c r="V38" s="29">
        <v>27.5</v>
      </c>
      <c r="W38" s="30">
        <f t="shared" si="2"/>
        <v>82.5</v>
      </c>
      <c r="X38" s="361">
        <f t="shared" si="3"/>
        <v>515</v>
      </c>
      <c r="Y38" s="147">
        <f t="shared" si="4"/>
        <v>1.8360071301247771</v>
      </c>
      <c r="Z38" s="211">
        <f t="shared" si="5"/>
        <v>460.87336229946527</v>
      </c>
      <c r="AA38" s="132">
        <f t="shared" si="6"/>
        <v>1</v>
      </c>
      <c r="AB38" s="86">
        <f t="shared" si="7"/>
        <v>159.29999999999998</v>
      </c>
      <c r="AC38" s="64">
        <v>17.2</v>
      </c>
      <c r="AD38" s="85">
        <f t="shared" si="8"/>
        <v>59.88372093023256</v>
      </c>
      <c r="AE38" s="297">
        <v>30</v>
      </c>
      <c r="AF38" s="297">
        <v>1.6</v>
      </c>
      <c r="AG38" s="81">
        <v>29</v>
      </c>
      <c r="AH38" s="182">
        <v>0</v>
      </c>
      <c r="AI38" s="253">
        <f t="shared" si="9"/>
        <v>1459.1000000000001</v>
      </c>
      <c r="AJ38" s="31">
        <v>80</v>
      </c>
      <c r="AK38" s="30">
        <f t="shared" si="10"/>
        <v>0.6672304374216065</v>
      </c>
      <c r="AL38" s="85">
        <f t="shared" si="11"/>
        <v>1254.3932223526201</v>
      </c>
      <c r="AM38" s="85">
        <f t="shared" si="12"/>
        <v>3757.9491557641923</v>
      </c>
      <c r="AN38" s="85">
        <f t="shared" si="13"/>
        <v>2042.74</v>
      </c>
      <c r="AO38" s="82">
        <f t="shared" si="14"/>
        <v>355.2436311308338</v>
      </c>
      <c r="AP38" s="128">
        <f t="shared" si="15"/>
        <v>51.67180089175764</v>
      </c>
      <c r="AQ38" s="91" t="str">
        <f t="shared" si="16"/>
        <v>OK</v>
      </c>
      <c r="AR38" s="120">
        <f t="shared" si="17"/>
        <v>754.1</v>
      </c>
      <c r="AS38" s="255">
        <f t="shared" si="18"/>
        <v>62.84166666666667</v>
      </c>
      <c r="AT38" s="52">
        <f t="shared" si="19"/>
        <v>1880</v>
      </c>
      <c r="AU38" s="52">
        <f t="shared" si="20"/>
        <v>156.66666666666666</v>
      </c>
      <c r="AV38" s="81">
        <v>510</v>
      </c>
      <c r="AW38" s="63">
        <f t="shared" si="21"/>
        <v>71.286015625</v>
      </c>
      <c r="AX38" s="119"/>
      <c r="AY38" s="125">
        <v>0</v>
      </c>
      <c r="AZ38" s="256">
        <f t="shared" si="22"/>
        <v>3.0819964349376114</v>
      </c>
      <c r="BA38" s="87">
        <v>1230</v>
      </c>
      <c r="BB38" s="257">
        <f t="shared" si="23"/>
        <v>0.6561060768730984</v>
      </c>
      <c r="BC38" s="63">
        <f t="shared" si="24"/>
        <v>0.6782160034693019</v>
      </c>
      <c r="BD38" s="130">
        <f t="shared" si="25"/>
        <v>0.9166666666666667</v>
      </c>
      <c r="BE38" s="91" t="str">
        <f t="shared" si="26"/>
        <v>OK</v>
      </c>
      <c r="BF38" s="91" t="str">
        <f t="shared" si="27"/>
        <v>OK</v>
      </c>
    </row>
    <row r="39" spans="1:58" ht="11.25">
      <c r="A39" s="54"/>
      <c r="B39" s="119">
        <v>1</v>
      </c>
      <c r="C39" s="512">
        <f t="shared" si="0"/>
        <v>0.9625</v>
      </c>
      <c r="D39" s="54"/>
      <c r="E39" s="357" t="s">
        <v>185</v>
      </c>
      <c r="F39" s="180" t="s">
        <v>161</v>
      </c>
      <c r="G39" s="179" t="s">
        <v>158</v>
      </c>
      <c r="H39" s="179">
        <v>35</v>
      </c>
      <c r="I39" s="272"/>
      <c r="J39" s="80">
        <v>10.3</v>
      </c>
      <c r="K39" s="80">
        <v>17.7</v>
      </c>
      <c r="L39" s="296">
        <v>0.3</v>
      </c>
      <c r="M39" s="32"/>
      <c r="N39" s="32"/>
      <c r="O39" s="157" t="str">
        <f t="shared" si="1"/>
        <v>NO</v>
      </c>
      <c r="P39" s="34">
        <v>50</v>
      </c>
      <c r="Q39" s="33">
        <v>1.5</v>
      </c>
      <c r="R39" s="34">
        <v>4</v>
      </c>
      <c r="S39" s="29">
        <v>4</v>
      </c>
      <c r="T39" s="34">
        <v>115</v>
      </c>
      <c r="U39" s="31">
        <v>282</v>
      </c>
      <c r="V39" s="29">
        <v>27.5</v>
      </c>
      <c r="W39" s="82">
        <f t="shared" si="2"/>
        <v>82.5</v>
      </c>
      <c r="X39" s="83">
        <f t="shared" si="3"/>
        <v>515</v>
      </c>
      <c r="Y39" s="84">
        <f t="shared" si="4"/>
        <v>1.8360071301247771</v>
      </c>
      <c r="Z39" s="294">
        <f t="shared" si="5"/>
        <v>460.87336229946527</v>
      </c>
      <c r="AA39" s="131">
        <f t="shared" si="6"/>
        <v>1</v>
      </c>
      <c r="AB39" s="128">
        <f t="shared" si="7"/>
        <v>159.29999999999998</v>
      </c>
      <c r="AC39" s="33">
        <v>17.2</v>
      </c>
      <c r="AD39" s="52">
        <f t="shared" si="8"/>
        <v>59.88372093023256</v>
      </c>
      <c r="AE39" s="34">
        <v>30</v>
      </c>
      <c r="AF39" s="34">
        <v>1.6</v>
      </c>
      <c r="AG39" s="31">
        <v>29</v>
      </c>
      <c r="AH39" s="31">
        <v>0</v>
      </c>
      <c r="AI39" s="112">
        <f t="shared" si="9"/>
        <v>1459.1000000000001</v>
      </c>
      <c r="AJ39" s="31">
        <v>80</v>
      </c>
      <c r="AK39" s="30">
        <f t="shared" si="10"/>
        <v>0.6672304374216065</v>
      </c>
      <c r="AL39" s="85">
        <f t="shared" si="11"/>
        <v>1254.3932223526201</v>
      </c>
      <c r="AM39" s="85">
        <f t="shared" si="12"/>
        <v>3757.9491557641923</v>
      </c>
      <c r="AN39" s="85">
        <f t="shared" si="13"/>
        <v>2042.74</v>
      </c>
      <c r="AO39" s="82">
        <f t="shared" si="14"/>
        <v>355.2436311308338</v>
      </c>
      <c r="AP39" s="86">
        <f t="shared" si="15"/>
        <v>51.67180089175764</v>
      </c>
      <c r="AQ39" s="91" t="str">
        <f t="shared" si="16"/>
        <v>OK</v>
      </c>
      <c r="AR39" s="120">
        <f t="shared" si="17"/>
        <v>754.1</v>
      </c>
      <c r="AS39" s="255">
        <f t="shared" si="18"/>
        <v>62.84166666666667</v>
      </c>
      <c r="AT39" s="52">
        <f t="shared" si="19"/>
        <v>1880</v>
      </c>
      <c r="AU39" s="52">
        <f t="shared" si="20"/>
        <v>156.66666666666666</v>
      </c>
      <c r="AV39" s="81">
        <v>510</v>
      </c>
      <c r="AW39" s="63">
        <f t="shared" si="21"/>
        <v>71.286015625</v>
      </c>
      <c r="AX39" s="119"/>
      <c r="AY39" s="125">
        <v>0</v>
      </c>
      <c r="AZ39" s="256">
        <f t="shared" si="22"/>
        <v>3.0819964349376114</v>
      </c>
      <c r="BA39" s="87">
        <v>1230</v>
      </c>
      <c r="BB39" s="257">
        <f t="shared" si="23"/>
        <v>0.6561060768730984</v>
      </c>
      <c r="BC39" s="63">
        <f t="shared" si="24"/>
        <v>0.6782160034693019</v>
      </c>
      <c r="BD39" s="130">
        <f t="shared" si="25"/>
        <v>0.9166666666666667</v>
      </c>
      <c r="BE39" s="91" t="str">
        <f t="shared" si="26"/>
        <v>OK</v>
      </c>
      <c r="BF39" s="91" t="str">
        <f t="shared" si="27"/>
        <v>OK</v>
      </c>
    </row>
    <row r="40" spans="1:58" ht="12" thickBot="1">
      <c r="A40" s="54"/>
      <c r="B40" s="165">
        <v>1</v>
      </c>
      <c r="C40" s="507">
        <f t="shared" si="0"/>
        <v>0.75</v>
      </c>
      <c r="D40" s="54"/>
      <c r="E40" s="268" t="s">
        <v>161</v>
      </c>
      <c r="F40" s="304" t="s">
        <v>162</v>
      </c>
      <c r="G40" s="115" t="s">
        <v>163</v>
      </c>
      <c r="H40" s="153">
        <v>30</v>
      </c>
      <c r="I40" s="273"/>
      <c r="J40" s="100">
        <v>8.85</v>
      </c>
      <c r="K40" s="100">
        <v>13.8</v>
      </c>
      <c r="L40" s="116">
        <v>0.27</v>
      </c>
      <c r="M40" s="116"/>
      <c r="N40" s="116"/>
      <c r="O40" s="158" t="str">
        <f t="shared" si="1"/>
        <v>NO</v>
      </c>
      <c r="P40" s="109">
        <v>50</v>
      </c>
      <c r="Q40" s="95">
        <v>1.5</v>
      </c>
      <c r="R40" s="109">
        <v>4</v>
      </c>
      <c r="S40" s="100">
        <v>4</v>
      </c>
      <c r="T40" s="109">
        <v>115</v>
      </c>
      <c r="U40" s="183">
        <v>270</v>
      </c>
      <c r="V40" s="100">
        <v>25</v>
      </c>
      <c r="W40" s="107">
        <f t="shared" si="2"/>
        <v>75</v>
      </c>
      <c r="X40" s="105">
        <f t="shared" si="3"/>
        <v>442.5</v>
      </c>
      <c r="Y40" s="117">
        <f t="shared" si="4"/>
        <v>1.7352941176470589</v>
      </c>
      <c r="Z40" s="113">
        <f t="shared" si="5"/>
        <v>332.9487132352941</v>
      </c>
      <c r="AA40" s="164">
        <f t="shared" si="6"/>
        <v>1</v>
      </c>
      <c r="AB40" s="129">
        <f t="shared" si="7"/>
        <v>111.78</v>
      </c>
      <c r="AC40" s="95">
        <v>17.2</v>
      </c>
      <c r="AD40" s="106">
        <f t="shared" si="8"/>
        <v>51.45348837209303</v>
      </c>
      <c r="AE40" s="286">
        <v>30</v>
      </c>
      <c r="AF40" s="286">
        <v>1.6</v>
      </c>
      <c r="AG40" s="35">
        <v>29</v>
      </c>
      <c r="AH40" s="183">
        <v>0</v>
      </c>
      <c r="AI40" s="133">
        <f t="shared" si="9"/>
        <v>1393.5</v>
      </c>
      <c r="AJ40" s="108">
        <v>80</v>
      </c>
      <c r="AK40" s="107">
        <f t="shared" si="10"/>
        <v>0.697213595499958</v>
      </c>
      <c r="AL40" s="106">
        <f t="shared" si="11"/>
        <v>1254.9844718999243</v>
      </c>
      <c r="AM40" s="106">
        <f t="shared" si="12"/>
        <v>3680.175155039879</v>
      </c>
      <c r="AN40" s="106">
        <f t="shared" si="13"/>
        <v>1950.8999999999999</v>
      </c>
      <c r="AO40" s="107">
        <f t="shared" si="14"/>
        <v>287.51368398749054</v>
      </c>
      <c r="AP40" s="129">
        <f t="shared" si="15"/>
        <v>46.00218943799849</v>
      </c>
      <c r="AQ40" s="316" t="str">
        <f t="shared" si="16"/>
        <v>OK</v>
      </c>
      <c r="AR40" s="104">
        <f t="shared" si="17"/>
        <v>718.5</v>
      </c>
      <c r="AS40" s="312">
        <f t="shared" si="18"/>
        <v>59.875</v>
      </c>
      <c r="AT40" s="106">
        <f t="shared" si="19"/>
        <v>1800</v>
      </c>
      <c r="AU40" s="106">
        <f t="shared" si="20"/>
        <v>150</v>
      </c>
      <c r="AV40" s="183">
        <v>291</v>
      </c>
      <c r="AW40" s="111">
        <f t="shared" si="21"/>
        <v>56.1328125</v>
      </c>
      <c r="AX40" s="165"/>
      <c r="AY40" s="127">
        <v>0</v>
      </c>
      <c r="AZ40" s="313">
        <f t="shared" si="22"/>
        <v>3.1323529411764706</v>
      </c>
      <c r="BA40" s="110">
        <v>738</v>
      </c>
      <c r="BB40" s="314">
        <f t="shared" si="23"/>
        <v>0.748304468094561</v>
      </c>
      <c r="BC40" s="111">
        <f t="shared" si="24"/>
        <v>0.7391978553406223</v>
      </c>
      <c r="BD40" s="113">
        <f t="shared" si="25"/>
        <v>0.8333333333333334</v>
      </c>
      <c r="BE40" s="92" t="str">
        <f t="shared" si="26"/>
        <v>OK</v>
      </c>
      <c r="BF40" s="92" t="str">
        <f t="shared" si="27"/>
        <v>OK</v>
      </c>
    </row>
    <row r="41" spans="2:58" ht="12" thickBot="1">
      <c r="B41" s="347">
        <v>1</v>
      </c>
      <c r="C41" s="511">
        <f t="shared" si="0"/>
        <v>0.9625</v>
      </c>
      <c r="D41" s="54"/>
      <c r="E41" s="393" t="s">
        <v>164</v>
      </c>
      <c r="F41" s="459" t="s">
        <v>165</v>
      </c>
      <c r="G41" s="305" t="s">
        <v>158</v>
      </c>
      <c r="H41" s="305">
        <v>35</v>
      </c>
      <c r="I41" s="273"/>
      <c r="J41" s="306">
        <v>10.3</v>
      </c>
      <c r="K41" s="306">
        <v>17.7</v>
      </c>
      <c r="L41" s="307">
        <v>0.3</v>
      </c>
      <c r="M41" s="100"/>
      <c r="N41" s="156"/>
      <c r="O41" s="373" t="str">
        <f t="shared" si="1"/>
        <v>NO</v>
      </c>
      <c r="P41" s="286">
        <v>50</v>
      </c>
      <c r="Q41" s="36">
        <v>1.5</v>
      </c>
      <c r="R41" s="286">
        <v>4</v>
      </c>
      <c r="S41" s="306">
        <v>4</v>
      </c>
      <c r="T41" s="286">
        <v>115</v>
      </c>
      <c r="U41" s="336">
        <v>282</v>
      </c>
      <c r="V41" s="325">
        <v>27.5</v>
      </c>
      <c r="W41" s="148">
        <f t="shared" si="2"/>
        <v>82.5</v>
      </c>
      <c r="X41" s="149">
        <f t="shared" si="3"/>
        <v>515</v>
      </c>
      <c r="Y41" s="150">
        <f t="shared" si="4"/>
        <v>1.8360071301247771</v>
      </c>
      <c r="Z41" s="374">
        <f t="shared" si="5"/>
        <v>460.87336229946527</v>
      </c>
      <c r="AA41" s="375">
        <f t="shared" si="6"/>
        <v>1</v>
      </c>
      <c r="AB41" s="308">
        <f t="shared" si="7"/>
        <v>159.29999999999998</v>
      </c>
      <c r="AC41" s="36">
        <v>17.2</v>
      </c>
      <c r="AD41" s="376">
        <f t="shared" si="8"/>
        <v>59.88372093023256</v>
      </c>
      <c r="AE41" s="286">
        <v>30</v>
      </c>
      <c r="AF41" s="286">
        <v>1.6</v>
      </c>
      <c r="AG41" s="35">
        <v>29</v>
      </c>
      <c r="AH41" s="35">
        <v>0</v>
      </c>
      <c r="AI41" s="377">
        <f t="shared" si="9"/>
        <v>1459.1000000000001</v>
      </c>
      <c r="AJ41" s="336">
        <v>80</v>
      </c>
      <c r="AK41" s="82">
        <f t="shared" si="10"/>
        <v>0.6672304374216065</v>
      </c>
      <c r="AL41" s="376">
        <f t="shared" si="11"/>
        <v>1254.3932223526201</v>
      </c>
      <c r="AM41" s="376">
        <f t="shared" si="12"/>
        <v>3757.9491557641923</v>
      </c>
      <c r="AN41" s="376">
        <f t="shared" si="13"/>
        <v>2042.74</v>
      </c>
      <c r="AO41" s="148">
        <f t="shared" si="14"/>
        <v>355.2436311308338</v>
      </c>
      <c r="AP41" s="308">
        <f t="shared" si="15"/>
        <v>51.67180089175764</v>
      </c>
      <c r="AQ41" s="311" t="str">
        <f t="shared" si="16"/>
        <v>OK</v>
      </c>
      <c r="AR41" s="378">
        <f t="shared" si="17"/>
        <v>754.1</v>
      </c>
      <c r="AS41" s="379">
        <f t="shared" si="18"/>
        <v>62.84166666666667</v>
      </c>
      <c r="AT41" s="376">
        <f t="shared" si="19"/>
        <v>1880</v>
      </c>
      <c r="AU41" s="376">
        <f t="shared" si="20"/>
        <v>156.66666666666666</v>
      </c>
      <c r="AV41" s="35">
        <v>510</v>
      </c>
      <c r="AW41" s="380">
        <f t="shared" si="21"/>
        <v>71.286015625</v>
      </c>
      <c r="AX41" s="381"/>
      <c r="AY41" s="382">
        <v>0</v>
      </c>
      <c r="AZ41" s="383">
        <f t="shared" si="22"/>
        <v>3.0819964349376114</v>
      </c>
      <c r="BA41" s="368">
        <v>1230</v>
      </c>
      <c r="BB41" s="310">
        <f t="shared" si="23"/>
        <v>0.6561060768730984</v>
      </c>
      <c r="BC41" s="380">
        <f t="shared" si="24"/>
        <v>0.6782160034693019</v>
      </c>
      <c r="BD41" s="384">
        <f t="shared" si="25"/>
        <v>0.9166666666666667</v>
      </c>
      <c r="BE41" s="385" t="str">
        <f t="shared" si="26"/>
        <v>OK</v>
      </c>
      <c r="BF41" s="385" t="str">
        <f t="shared" si="27"/>
        <v>OK</v>
      </c>
    </row>
    <row r="42" spans="2:58" ht="11.25">
      <c r="B42" s="254">
        <v>1</v>
      </c>
      <c r="C42" s="503">
        <f t="shared" si="0"/>
        <v>0.9625</v>
      </c>
      <c r="D42" s="54"/>
      <c r="E42" s="355" t="s">
        <v>187</v>
      </c>
      <c r="F42" s="178" t="s">
        <v>188</v>
      </c>
      <c r="G42" s="179" t="s">
        <v>158</v>
      </c>
      <c r="H42" s="295">
        <v>35</v>
      </c>
      <c r="I42" s="390"/>
      <c r="J42" s="80">
        <v>10.3</v>
      </c>
      <c r="K42" s="80">
        <v>17.7</v>
      </c>
      <c r="L42" s="296">
        <v>0.3</v>
      </c>
      <c r="M42" s="80"/>
      <c r="N42" s="391"/>
      <c r="O42" s="392" t="str">
        <f t="shared" si="1"/>
        <v>NO</v>
      </c>
      <c r="P42" s="297">
        <v>50</v>
      </c>
      <c r="Q42" s="64">
        <v>1.5</v>
      </c>
      <c r="R42" s="297">
        <v>4</v>
      </c>
      <c r="S42" s="80">
        <v>4</v>
      </c>
      <c r="T42" s="297">
        <v>115</v>
      </c>
      <c r="U42" s="81">
        <v>240</v>
      </c>
      <c r="V42" s="80">
        <v>27.5</v>
      </c>
      <c r="W42" s="82">
        <f t="shared" si="2"/>
        <v>82.5</v>
      </c>
      <c r="X42" s="83">
        <f t="shared" si="3"/>
        <v>515</v>
      </c>
      <c r="Y42" s="84">
        <f t="shared" si="4"/>
        <v>1.8360071301247771</v>
      </c>
      <c r="Z42" s="102">
        <f t="shared" si="5"/>
        <v>460.87336229946527</v>
      </c>
      <c r="AA42" s="162">
        <f t="shared" si="6"/>
        <v>1</v>
      </c>
      <c r="AB42" s="51">
        <f t="shared" si="7"/>
        <v>159.29999999999998</v>
      </c>
      <c r="AC42" s="26">
        <v>17.2</v>
      </c>
      <c r="AD42" s="85">
        <f t="shared" si="8"/>
        <v>59.88372093023256</v>
      </c>
      <c r="AE42" s="297">
        <v>30</v>
      </c>
      <c r="AF42" s="297">
        <v>1.6</v>
      </c>
      <c r="AG42" s="81">
        <v>29</v>
      </c>
      <c r="AH42" s="24">
        <v>0</v>
      </c>
      <c r="AI42" s="356">
        <f t="shared" si="9"/>
        <v>1247</v>
      </c>
      <c r="AJ42" s="410">
        <v>80</v>
      </c>
      <c r="AK42" s="23">
        <f t="shared" si="10"/>
        <v>0.7022670168666454</v>
      </c>
      <c r="AL42" s="85">
        <f t="shared" si="11"/>
        <v>1123.6272269866326</v>
      </c>
      <c r="AM42" s="85">
        <f t="shared" si="12"/>
        <v>3294.203563178612</v>
      </c>
      <c r="AN42" s="85">
        <f t="shared" si="13"/>
        <v>1745.8</v>
      </c>
      <c r="AO42" s="82">
        <f t="shared" si="14"/>
        <v>311.4051805817282</v>
      </c>
      <c r="AP42" s="86">
        <f t="shared" si="15"/>
        <v>45.29529899370592</v>
      </c>
      <c r="AQ42" s="90" t="str">
        <f t="shared" si="16"/>
        <v>OK</v>
      </c>
      <c r="AR42" s="103">
        <f t="shared" si="17"/>
        <v>647</v>
      </c>
      <c r="AS42" s="289">
        <f t="shared" si="18"/>
        <v>53.916666666666664</v>
      </c>
      <c r="AT42" s="290">
        <f t="shared" si="19"/>
        <v>1600</v>
      </c>
      <c r="AU42" s="290">
        <f t="shared" si="20"/>
        <v>133.33333333333334</v>
      </c>
      <c r="AV42" s="24">
        <v>510</v>
      </c>
      <c r="AW42" s="68">
        <f t="shared" si="21"/>
        <v>61.16171875</v>
      </c>
      <c r="AX42" s="118"/>
      <c r="AY42" s="126">
        <v>0</v>
      </c>
      <c r="AZ42" s="291">
        <f t="shared" si="22"/>
        <v>3.0819964349376114</v>
      </c>
      <c r="BA42" s="66">
        <v>1230</v>
      </c>
      <c r="BB42" s="292">
        <f t="shared" si="23"/>
        <v>0.5629235270347364</v>
      </c>
      <c r="BC42" s="68">
        <f t="shared" si="24"/>
        <v>0.5772051093355762</v>
      </c>
      <c r="BD42" s="102">
        <f t="shared" si="25"/>
        <v>0.9166666666666667</v>
      </c>
      <c r="BE42" s="90" t="str">
        <f t="shared" si="26"/>
        <v>OK</v>
      </c>
      <c r="BF42" s="90" t="str">
        <f t="shared" si="27"/>
        <v>OK</v>
      </c>
    </row>
    <row r="43" spans="2:58" ht="12" thickBot="1">
      <c r="B43" s="165">
        <v>1</v>
      </c>
      <c r="C43" s="507">
        <f t="shared" si="0"/>
        <v>0.8525</v>
      </c>
      <c r="D43" s="54"/>
      <c r="E43" s="393" t="s">
        <v>168</v>
      </c>
      <c r="F43" s="62" t="s">
        <v>169</v>
      </c>
      <c r="G43" s="393" t="s">
        <v>170</v>
      </c>
      <c r="H43" s="394">
        <v>31</v>
      </c>
      <c r="I43" s="273"/>
      <c r="J43" s="181">
        <v>9.13</v>
      </c>
      <c r="K43" s="181">
        <v>15.9</v>
      </c>
      <c r="L43" s="395">
        <v>0.275</v>
      </c>
      <c r="M43" s="100"/>
      <c r="N43" s="156"/>
      <c r="O43" s="158" t="str">
        <f t="shared" si="1"/>
        <v>NO</v>
      </c>
      <c r="P43" s="109">
        <v>50</v>
      </c>
      <c r="Q43" s="95">
        <v>1.5</v>
      </c>
      <c r="R43" s="109">
        <v>4</v>
      </c>
      <c r="S43" s="100">
        <v>4</v>
      </c>
      <c r="T43" s="109">
        <v>115</v>
      </c>
      <c r="U43" s="108">
        <v>240</v>
      </c>
      <c r="V43" s="100">
        <v>27.5</v>
      </c>
      <c r="W43" s="107">
        <f t="shared" si="2"/>
        <v>82.5</v>
      </c>
      <c r="X43" s="105">
        <f t="shared" si="3"/>
        <v>456.50000000000006</v>
      </c>
      <c r="Y43" s="117">
        <f t="shared" si="4"/>
        <v>1.627450980392157</v>
      </c>
      <c r="Z43" s="384">
        <f t="shared" si="5"/>
        <v>381.27819852941184</v>
      </c>
      <c r="AA43" s="375">
        <f t="shared" si="6"/>
        <v>1</v>
      </c>
      <c r="AB43" s="308">
        <f t="shared" si="7"/>
        <v>131.175</v>
      </c>
      <c r="AC43" s="36">
        <v>17.2</v>
      </c>
      <c r="AD43" s="376">
        <f t="shared" si="8"/>
        <v>53.08139534883722</v>
      </c>
      <c r="AE43" s="286">
        <v>30</v>
      </c>
      <c r="AF43" s="286">
        <v>1.6</v>
      </c>
      <c r="AG43" s="35">
        <v>29</v>
      </c>
      <c r="AH43" s="35">
        <v>0</v>
      </c>
      <c r="AI43" s="377">
        <f t="shared" si="9"/>
        <v>1243</v>
      </c>
      <c r="AJ43" s="35">
        <v>80</v>
      </c>
      <c r="AK43" s="107">
        <f t="shared" si="10"/>
        <v>0.7022670168666454</v>
      </c>
      <c r="AL43" s="376">
        <f t="shared" si="11"/>
        <v>1123.6272269866326</v>
      </c>
      <c r="AM43" s="376">
        <f t="shared" si="12"/>
        <v>3289.4035631786123</v>
      </c>
      <c r="AN43" s="376">
        <f t="shared" si="13"/>
        <v>1740.1999999999998</v>
      </c>
      <c r="AO43" s="148">
        <f t="shared" si="14"/>
        <v>310.9514305817282</v>
      </c>
      <c r="AP43" s="129">
        <f t="shared" si="15"/>
        <v>45.22929899370592</v>
      </c>
      <c r="AQ43" s="311" t="str">
        <f t="shared" si="16"/>
        <v>OK</v>
      </c>
      <c r="AR43" s="378">
        <f t="shared" si="17"/>
        <v>643</v>
      </c>
      <c r="AS43" s="379">
        <f t="shared" si="18"/>
        <v>53.583333333333336</v>
      </c>
      <c r="AT43" s="376">
        <f t="shared" si="19"/>
        <v>1600</v>
      </c>
      <c r="AU43" s="376">
        <f t="shared" si="20"/>
        <v>133.33333333333334</v>
      </c>
      <c r="AV43" s="35">
        <v>375</v>
      </c>
      <c r="AW43" s="380">
        <f t="shared" si="21"/>
        <v>60.78359375</v>
      </c>
      <c r="AX43" s="381"/>
      <c r="AY43" s="382">
        <v>0</v>
      </c>
      <c r="AZ43" s="383">
        <f t="shared" si="22"/>
        <v>3.1862745098039214</v>
      </c>
      <c r="BA43" s="368">
        <v>940</v>
      </c>
      <c r="BB43" s="310">
        <f t="shared" si="23"/>
        <v>0.7608429148706897</v>
      </c>
      <c r="BC43" s="380">
        <f t="shared" si="24"/>
        <v>0.755279026045488</v>
      </c>
      <c r="BD43" s="384">
        <f t="shared" si="25"/>
        <v>0.9166666666666667</v>
      </c>
      <c r="BE43" s="385" t="str">
        <f t="shared" si="26"/>
        <v>OK</v>
      </c>
      <c r="BF43" s="385" t="str">
        <f t="shared" si="27"/>
        <v>OK</v>
      </c>
    </row>
    <row r="44" spans="2:58" ht="12" thickBot="1">
      <c r="B44" s="347">
        <v>1</v>
      </c>
      <c r="C44" s="503">
        <f t="shared" si="0"/>
        <v>0.9625</v>
      </c>
      <c r="D44" s="54"/>
      <c r="E44" s="393" t="s">
        <v>172</v>
      </c>
      <c r="F44" s="304" t="s">
        <v>173</v>
      </c>
      <c r="G44" s="77" t="s">
        <v>158</v>
      </c>
      <c r="H44" s="305">
        <v>35</v>
      </c>
      <c r="I44" s="394"/>
      <c r="J44" s="306">
        <v>10.3</v>
      </c>
      <c r="K44" s="306">
        <v>17.7</v>
      </c>
      <c r="L44" s="307">
        <v>0.3</v>
      </c>
      <c r="M44" s="306"/>
      <c r="N44" s="398"/>
      <c r="O44" s="373" t="str">
        <f t="shared" si="1"/>
        <v>NO</v>
      </c>
      <c r="P44" s="286">
        <v>50</v>
      </c>
      <c r="Q44" s="36">
        <v>1.5</v>
      </c>
      <c r="R44" s="286">
        <v>4</v>
      </c>
      <c r="S44" s="306">
        <v>4</v>
      </c>
      <c r="T44" s="286">
        <v>115</v>
      </c>
      <c r="U44" s="336">
        <v>282</v>
      </c>
      <c r="V44" s="325">
        <v>27.5</v>
      </c>
      <c r="W44" s="148">
        <f t="shared" si="2"/>
        <v>82.5</v>
      </c>
      <c r="X44" s="149">
        <f t="shared" si="3"/>
        <v>515</v>
      </c>
      <c r="Y44" s="150">
        <f t="shared" si="4"/>
        <v>1.8360071301247771</v>
      </c>
      <c r="Z44" s="384">
        <f t="shared" si="5"/>
        <v>460.87336229946527</v>
      </c>
      <c r="AA44" s="375">
        <f t="shared" si="6"/>
        <v>1</v>
      </c>
      <c r="AB44" s="308">
        <f t="shared" si="7"/>
        <v>159.29999999999998</v>
      </c>
      <c r="AC44" s="36">
        <v>17.2</v>
      </c>
      <c r="AD44" s="376">
        <f t="shared" si="8"/>
        <v>59.88372093023256</v>
      </c>
      <c r="AE44" s="286">
        <v>30</v>
      </c>
      <c r="AF44" s="286">
        <v>1.6</v>
      </c>
      <c r="AG44" s="35">
        <v>29</v>
      </c>
      <c r="AH44" s="35">
        <v>0</v>
      </c>
      <c r="AI44" s="377">
        <f t="shared" si="9"/>
        <v>1459.1000000000001</v>
      </c>
      <c r="AJ44" s="336">
        <v>80</v>
      </c>
      <c r="AK44" s="82">
        <f t="shared" si="10"/>
        <v>0.6672304374216065</v>
      </c>
      <c r="AL44" s="106">
        <f t="shared" si="11"/>
        <v>1254.3932223526201</v>
      </c>
      <c r="AM44" s="106">
        <f t="shared" si="12"/>
        <v>3757.9491557641923</v>
      </c>
      <c r="AN44" s="106">
        <f t="shared" si="13"/>
        <v>2042.74</v>
      </c>
      <c r="AO44" s="107">
        <f t="shared" si="14"/>
        <v>355.2436311308338</v>
      </c>
      <c r="AP44" s="129">
        <f t="shared" si="15"/>
        <v>51.67180089175764</v>
      </c>
      <c r="AQ44" s="92" t="str">
        <f t="shared" si="16"/>
        <v>OK</v>
      </c>
      <c r="AR44" s="378">
        <f t="shared" si="17"/>
        <v>754.1</v>
      </c>
      <c r="AS44" s="379">
        <f t="shared" si="18"/>
        <v>62.84166666666667</v>
      </c>
      <c r="AT44" s="376">
        <f t="shared" si="19"/>
        <v>1880</v>
      </c>
      <c r="AU44" s="376">
        <f t="shared" si="20"/>
        <v>156.66666666666666</v>
      </c>
      <c r="AV44" s="35">
        <v>510</v>
      </c>
      <c r="AW44" s="380">
        <f t="shared" si="21"/>
        <v>71.286015625</v>
      </c>
      <c r="AX44" s="381"/>
      <c r="AY44" s="382">
        <v>0</v>
      </c>
      <c r="AZ44" s="383">
        <f t="shared" si="22"/>
        <v>3.0819964349376114</v>
      </c>
      <c r="BA44" s="368">
        <v>1230</v>
      </c>
      <c r="BB44" s="310">
        <f t="shared" si="23"/>
        <v>0.6561060768730984</v>
      </c>
      <c r="BC44" s="380">
        <f t="shared" si="24"/>
        <v>0.6782160034693019</v>
      </c>
      <c r="BD44" s="384">
        <f t="shared" si="25"/>
        <v>0.9166666666666667</v>
      </c>
      <c r="BE44" s="385" t="str">
        <f t="shared" si="26"/>
        <v>OK</v>
      </c>
      <c r="BF44" s="385" t="str">
        <f t="shared" si="27"/>
        <v>OK</v>
      </c>
    </row>
    <row r="45" spans="2:58" ht="11.25">
      <c r="B45" s="254">
        <v>1</v>
      </c>
      <c r="C45" s="503">
        <f t="shared" si="0"/>
        <v>0.75</v>
      </c>
      <c r="D45" s="54"/>
      <c r="E45" s="250" t="s">
        <v>174</v>
      </c>
      <c r="F45" s="401" t="s">
        <v>175</v>
      </c>
      <c r="G45" s="179" t="s">
        <v>163</v>
      </c>
      <c r="H45" s="287">
        <v>30</v>
      </c>
      <c r="I45" s="271"/>
      <c r="J45" s="22">
        <v>8.85</v>
      </c>
      <c r="K45" s="22">
        <v>13.8</v>
      </c>
      <c r="L45" s="25">
        <v>0.27</v>
      </c>
      <c r="M45" s="22"/>
      <c r="N45" s="154"/>
      <c r="O45" s="372" t="str">
        <f t="shared" si="1"/>
        <v>NO</v>
      </c>
      <c r="P45" s="288">
        <v>50</v>
      </c>
      <c r="Q45" s="26">
        <v>1.5</v>
      </c>
      <c r="R45" s="288">
        <v>4</v>
      </c>
      <c r="S45" s="22">
        <v>4</v>
      </c>
      <c r="T45" s="288">
        <v>115</v>
      </c>
      <c r="U45" s="182">
        <v>270</v>
      </c>
      <c r="V45" s="74">
        <v>25</v>
      </c>
      <c r="W45" s="23">
        <f t="shared" si="2"/>
        <v>75</v>
      </c>
      <c r="X45" s="27">
        <f t="shared" si="3"/>
        <v>442.5</v>
      </c>
      <c r="Y45" s="28">
        <f t="shared" si="4"/>
        <v>1.7352941176470589</v>
      </c>
      <c r="Z45" s="402">
        <f t="shared" si="5"/>
        <v>332.9487132352941</v>
      </c>
      <c r="AA45" s="403">
        <f t="shared" si="6"/>
        <v>1</v>
      </c>
      <c r="AB45" s="209">
        <f t="shared" si="7"/>
        <v>111.78</v>
      </c>
      <c r="AC45" s="6">
        <v>17.2</v>
      </c>
      <c r="AD45" s="143">
        <f t="shared" si="8"/>
        <v>51.45348837209303</v>
      </c>
      <c r="AE45" s="4">
        <v>30</v>
      </c>
      <c r="AF45" s="4">
        <v>1.6</v>
      </c>
      <c r="AG45" s="141">
        <v>29</v>
      </c>
      <c r="AH45" s="141">
        <v>0</v>
      </c>
      <c r="AI45" s="144">
        <f t="shared" si="9"/>
        <v>1393.5</v>
      </c>
      <c r="AJ45" s="81">
        <v>80</v>
      </c>
      <c r="AK45" s="23">
        <f t="shared" si="10"/>
        <v>0.697213595499958</v>
      </c>
      <c r="AL45" s="290">
        <f t="shared" si="11"/>
        <v>1254.9844718999243</v>
      </c>
      <c r="AM45" s="290">
        <f t="shared" si="12"/>
        <v>3680.175155039879</v>
      </c>
      <c r="AN45" s="290">
        <f t="shared" si="13"/>
        <v>1950.8999999999999</v>
      </c>
      <c r="AO45" s="23">
        <f t="shared" si="14"/>
        <v>287.51368398749054</v>
      </c>
      <c r="AP45" s="51">
        <f t="shared" si="15"/>
        <v>46.00218943799849</v>
      </c>
      <c r="AQ45" s="90" t="str">
        <f t="shared" si="16"/>
        <v>OK</v>
      </c>
      <c r="AR45" s="103">
        <f t="shared" si="17"/>
        <v>718.5</v>
      </c>
      <c r="AS45" s="289">
        <f t="shared" si="18"/>
        <v>59.875</v>
      </c>
      <c r="AT45" s="290">
        <f t="shared" si="19"/>
        <v>1800</v>
      </c>
      <c r="AU45" s="290">
        <f t="shared" si="20"/>
        <v>150</v>
      </c>
      <c r="AV45" s="24">
        <v>291</v>
      </c>
      <c r="AW45" s="68">
        <f t="shared" si="21"/>
        <v>56.1328125</v>
      </c>
      <c r="AX45" s="118"/>
      <c r="AY45" s="126">
        <v>0</v>
      </c>
      <c r="AZ45" s="291">
        <f t="shared" si="22"/>
        <v>3.1323529411764706</v>
      </c>
      <c r="BA45" s="66">
        <v>738</v>
      </c>
      <c r="BB45" s="292">
        <f t="shared" si="23"/>
        <v>0.748304468094561</v>
      </c>
      <c r="BC45" s="68">
        <f t="shared" si="24"/>
        <v>0.7391978553406223</v>
      </c>
      <c r="BD45" s="102">
        <f t="shared" si="25"/>
        <v>0.8333333333333334</v>
      </c>
      <c r="BE45" s="90" t="str">
        <f t="shared" si="26"/>
        <v>OK</v>
      </c>
      <c r="BF45" s="90" t="str">
        <f t="shared" si="27"/>
        <v>OK</v>
      </c>
    </row>
    <row r="46" spans="2:58" ht="11.25">
      <c r="B46" s="119">
        <v>1</v>
      </c>
      <c r="C46" s="512">
        <f t="shared" si="0"/>
        <v>0.9625</v>
      </c>
      <c r="D46" s="54"/>
      <c r="E46" s="357" t="s">
        <v>175</v>
      </c>
      <c r="F46" s="404" t="s">
        <v>176</v>
      </c>
      <c r="G46" s="179" t="s">
        <v>158</v>
      </c>
      <c r="H46" s="179">
        <v>35</v>
      </c>
      <c r="I46" s="390"/>
      <c r="J46" s="80">
        <v>10.3</v>
      </c>
      <c r="K46" s="80">
        <v>17.7</v>
      </c>
      <c r="L46" s="296">
        <v>0.3</v>
      </c>
      <c r="M46" s="80"/>
      <c r="N46" s="391"/>
      <c r="O46" s="216" t="str">
        <f t="shared" si="1"/>
        <v>NO</v>
      </c>
      <c r="P46" s="11">
        <v>50</v>
      </c>
      <c r="Q46" s="13">
        <v>1.5</v>
      </c>
      <c r="R46" s="11">
        <v>4</v>
      </c>
      <c r="S46" s="74">
        <v>4</v>
      </c>
      <c r="T46" s="11">
        <v>115</v>
      </c>
      <c r="U46" s="31">
        <v>282</v>
      </c>
      <c r="V46" s="29">
        <v>27.5</v>
      </c>
      <c r="W46" s="30">
        <f t="shared" si="2"/>
        <v>82.5</v>
      </c>
      <c r="X46" s="146">
        <f t="shared" si="3"/>
        <v>515</v>
      </c>
      <c r="Y46" s="147">
        <f t="shared" si="4"/>
        <v>1.8360071301247771</v>
      </c>
      <c r="Z46" s="130">
        <f t="shared" si="5"/>
        <v>460.87336229946527</v>
      </c>
      <c r="AA46" s="131">
        <f t="shared" si="6"/>
        <v>1</v>
      </c>
      <c r="AB46" s="128">
        <f t="shared" si="7"/>
        <v>159.29999999999998</v>
      </c>
      <c r="AC46" s="33">
        <v>17.2</v>
      </c>
      <c r="AD46" s="52">
        <f t="shared" si="8"/>
        <v>59.88372093023256</v>
      </c>
      <c r="AE46" s="34">
        <v>30</v>
      </c>
      <c r="AF46" s="34">
        <v>1.6</v>
      </c>
      <c r="AG46" s="31">
        <v>29</v>
      </c>
      <c r="AH46" s="31">
        <v>0</v>
      </c>
      <c r="AI46" s="112">
        <f t="shared" si="9"/>
        <v>1459.1000000000001</v>
      </c>
      <c r="AJ46" s="31">
        <v>80</v>
      </c>
      <c r="AK46" s="30">
        <f t="shared" si="10"/>
        <v>0.6672304374216065</v>
      </c>
      <c r="AL46" s="52">
        <f t="shared" si="11"/>
        <v>1254.3932223526201</v>
      </c>
      <c r="AM46" s="52">
        <f t="shared" si="12"/>
        <v>3757.9491557641923</v>
      </c>
      <c r="AN46" s="52">
        <f t="shared" si="13"/>
        <v>2042.74</v>
      </c>
      <c r="AO46" s="30">
        <f t="shared" si="14"/>
        <v>355.2436311308338</v>
      </c>
      <c r="AP46" s="128">
        <f t="shared" si="15"/>
        <v>51.67180089175764</v>
      </c>
      <c r="AQ46" s="91" t="str">
        <f t="shared" si="16"/>
        <v>OK</v>
      </c>
      <c r="AR46" s="120">
        <f t="shared" si="17"/>
        <v>754.1</v>
      </c>
      <c r="AS46" s="255">
        <f t="shared" si="18"/>
        <v>62.84166666666667</v>
      </c>
      <c r="AT46" s="52">
        <f t="shared" si="19"/>
        <v>1880</v>
      </c>
      <c r="AU46" s="52">
        <f t="shared" si="20"/>
        <v>156.66666666666666</v>
      </c>
      <c r="AV46" s="31">
        <v>510</v>
      </c>
      <c r="AW46" s="63">
        <f t="shared" si="21"/>
        <v>71.286015625</v>
      </c>
      <c r="AX46" s="119"/>
      <c r="AY46" s="125">
        <v>0</v>
      </c>
      <c r="AZ46" s="256">
        <f t="shared" si="22"/>
        <v>3.0819964349376114</v>
      </c>
      <c r="BA46" s="67">
        <v>1230</v>
      </c>
      <c r="BB46" s="257">
        <f t="shared" si="23"/>
        <v>0.6561060768730984</v>
      </c>
      <c r="BC46" s="63">
        <f t="shared" si="24"/>
        <v>0.6782160034693019</v>
      </c>
      <c r="BD46" s="130">
        <f t="shared" si="25"/>
        <v>0.9166666666666667</v>
      </c>
      <c r="BE46" s="91" t="str">
        <f t="shared" si="26"/>
        <v>OK</v>
      </c>
      <c r="BF46" s="91" t="str">
        <f t="shared" si="27"/>
        <v>OK</v>
      </c>
    </row>
    <row r="47" spans="2:58" ht="11.25">
      <c r="B47" s="119">
        <v>1</v>
      </c>
      <c r="C47" s="512">
        <f t="shared" si="0"/>
        <v>0.9625</v>
      </c>
      <c r="D47" s="54"/>
      <c r="E47" s="357" t="s">
        <v>176</v>
      </c>
      <c r="F47" s="404" t="s">
        <v>177</v>
      </c>
      <c r="G47" s="179" t="s">
        <v>158</v>
      </c>
      <c r="H47" s="179">
        <v>35</v>
      </c>
      <c r="I47" s="272"/>
      <c r="J47" s="80">
        <v>10.3</v>
      </c>
      <c r="K47" s="80">
        <v>17.7</v>
      </c>
      <c r="L47" s="296">
        <v>0.3</v>
      </c>
      <c r="M47" s="29"/>
      <c r="N47" s="155"/>
      <c r="O47" s="157" t="str">
        <f t="shared" si="1"/>
        <v>NO</v>
      </c>
      <c r="P47" s="34">
        <v>50</v>
      </c>
      <c r="Q47" s="33">
        <v>1.5</v>
      </c>
      <c r="R47" s="34">
        <v>4</v>
      </c>
      <c r="S47" s="29">
        <v>4</v>
      </c>
      <c r="T47" s="34">
        <v>115</v>
      </c>
      <c r="U47" s="31">
        <v>282</v>
      </c>
      <c r="V47" s="29">
        <v>27.5</v>
      </c>
      <c r="W47" s="30">
        <f t="shared" si="2"/>
        <v>82.5</v>
      </c>
      <c r="X47" s="146">
        <f t="shared" si="3"/>
        <v>515</v>
      </c>
      <c r="Y47" s="147">
        <f t="shared" si="4"/>
        <v>1.8360071301247771</v>
      </c>
      <c r="Z47" s="130">
        <f t="shared" si="5"/>
        <v>460.87336229946527</v>
      </c>
      <c r="AA47" s="131">
        <f t="shared" si="6"/>
        <v>1</v>
      </c>
      <c r="AB47" s="128">
        <f t="shared" si="7"/>
        <v>159.29999999999998</v>
      </c>
      <c r="AC47" s="33">
        <v>17.2</v>
      </c>
      <c r="AD47" s="52">
        <f t="shared" si="8"/>
        <v>59.88372093023256</v>
      </c>
      <c r="AE47" s="34">
        <v>30</v>
      </c>
      <c r="AF47" s="34">
        <v>1.6</v>
      </c>
      <c r="AG47" s="31">
        <v>29</v>
      </c>
      <c r="AH47" s="31">
        <v>0</v>
      </c>
      <c r="AI47" s="112">
        <f t="shared" si="9"/>
        <v>1459.1000000000001</v>
      </c>
      <c r="AJ47" s="31">
        <v>80</v>
      </c>
      <c r="AK47" s="30">
        <f t="shared" si="10"/>
        <v>0.6672304374216065</v>
      </c>
      <c r="AL47" s="52">
        <f t="shared" si="11"/>
        <v>1254.3932223526201</v>
      </c>
      <c r="AM47" s="52">
        <f t="shared" si="12"/>
        <v>3757.9491557641923</v>
      </c>
      <c r="AN47" s="52">
        <f t="shared" si="13"/>
        <v>2042.74</v>
      </c>
      <c r="AO47" s="30">
        <f t="shared" si="14"/>
        <v>355.2436311308338</v>
      </c>
      <c r="AP47" s="128">
        <f t="shared" si="15"/>
        <v>51.67180089175764</v>
      </c>
      <c r="AQ47" s="91" t="str">
        <f t="shared" si="16"/>
        <v>OK</v>
      </c>
      <c r="AR47" s="213">
        <f t="shared" si="17"/>
        <v>754.1</v>
      </c>
      <c r="AS47" s="255">
        <f t="shared" si="18"/>
        <v>62.84166666666667</v>
      </c>
      <c r="AT47" s="52">
        <f t="shared" si="19"/>
        <v>1880</v>
      </c>
      <c r="AU47" s="52">
        <f t="shared" si="20"/>
        <v>156.66666666666666</v>
      </c>
      <c r="AV47" s="31">
        <v>510</v>
      </c>
      <c r="AW47" s="63">
        <f t="shared" si="21"/>
        <v>71.286015625</v>
      </c>
      <c r="AX47" s="119"/>
      <c r="AY47" s="125">
        <v>0</v>
      </c>
      <c r="AZ47" s="256">
        <f t="shared" si="22"/>
        <v>3.0819964349376114</v>
      </c>
      <c r="BA47" s="67">
        <v>1230</v>
      </c>
      <c r="BB47" s="257">
        <f t="shared" si="23"/>
        <v>0.6561060768730984</v>
      </c>
      <c r="BC47" s="63">
        <f t="shared" si="24"/>
        <v>0.6782160034693019</v>
      </c>
      <c r="BD47" s="130">
        <f t="shared" si="25"/>
        <v>0.9166666666666667</v>
      </c>
      <c r="BE47" s="91" t="str">
        <f t="shared" si="26"/>
        <v>OK</v>
      </c>
      <c r="BF47" s="91" t="str">
        <f t="shared" si="27"/>
        <v>OK</v>
      </c>
    </row>
    <row r="48" spans="2:58" ht="12" thickBot="1">
      <c r="B48" s="165">
        <v>1</v>
      </c>
      <c r="C48" s="504">
        <f t="shared" si="0"/>
        <v>0.75</v>
      </c>
      <c r="D48" s="54"/>
      <c r="E48" s="393" t="s">
        <v>177</v>
      </c>
      <c r="F48" s="62" t="s">
        <v>178</v>
      </c>
      <c r="G48" s="115" t="s">
        <v>163</v>
      </c>
      <c r="H48" s="153">
        <v>30</v>
      </c>
      <c r="I48" s="273"/>
      <c r="J48" s="100">
        <v>8.85</v>
      </c>
      <c r="K48" s="100">
        <v>13.8</v>
      </c>
      <c r="L48" s="116">
        <v>0.27</v>
      </c>
      <c r="M48" s="100"/>
      <c r="N48" s="156"/>
      <c r="O48" s="158" t="str">
        <f t="shared" si="1"/>
        <v>NO</v>
      </c>
      <c r="P48" s="109">
        <v>50</v>
      </c>
      <c r="Q48" s="95">
        <v>1.5</v>
      </c>
      <c r="R48" s="109">
        <v>4</v>
      </c>
      <c r="S48" s="100">
        <v>4</v>
      </c>
      <c r="T48" s="109">
        <v>115</v>
      </c>
      <c r="U48" s="183">
        <v>270</v>
      </c>
      <c r="V48" s="100">
        <v>25</v>
      </c>
      <c r="W48" s="107">
        <f t="shared" si="2"/>
        <v>75</v>
      </c>
      <c r="X48" s="105">
        <f t="shared" si="3"/>
        <v>442.5</v>
      </c>
      <c r="Y48" s="117">
        <f t="shared" si="4"/>
        <v>1.7352941176470589</v>
      </c>
      <c r="Z48" s="384">
        <f t="shared" si="5"/>
        <v>332.9487132352941</v>
      </c>
      <c r="AA48" s="375">
        <f t="shared" si="6"/>
        <v>1</v>
      </c>
      <c r="AB48" s="308">
        <f t="shared" si="7"/>
        <v>111.78</v>
      </c>
      <c r="AC48" s="36">
        <v>17.2</v>
      </c>
      <c r="AD48" s="376">
        <f t="shared" si="8"/>
        <v>51.45348837209303</v>
      </c>
      <c r="AE48" s="286">
        <v>30</v>
      </c>
      <c r="AF48" s="286">
        <v>1.6</v>
      </c>
      <c r="AG48" s="35">
        <v>29</v>
      </c>
      <c r="AH48" s="35">
        <v>0</v>
      </c>
      <c r="AI48" s="377">
        <f t="shared" si="9"/>
        <v>1393.5</v>
      </c>
      <c r="AJ48" s="366">
        <v>80</v>
      </c>
      <c r="AK48" s="148">
        <f t="shared" si="10"/>
        <v>0.697213595499958</v>
      </c>
      <c r="AL48" s="376">
        <f t="shared" si="11"/>
        <v>1254.9844718999243</v>
      </c>
      <c r="AM48" s="376">
        <f t="shared" si="12"/>
        <v>3680.175155039879</v>
      </c>
      <c r="AN48" s="376">
        <f t="shared" si="13"/>
        <v>1950.8999999999999</v>
      </c>
      <c r="AO48" s="148">
        <f t="shared" si="14"/>
        <v>287.51368398749054</v>
      </c>
      <c r="AP48" s="129">
        <f t="shared" si="15"/>
        <v>46.00218943799849</v>
      </c>
      <c r="AQ48" s="311" t="str">
        <f t="shared" si="16"/>
        <v>OK</v>
      </c>
      <c r="AR48" s="378">
        <f t="shared" si="17"/>
        <v>718.5</v>
      </c>
      <c r="AS48" s="379">
        <f t="shared" si="18"/>
        <v>59.875</v>
      </c>
      <c r="AT48" s="376">
        <f t="shared" si="19"/>
        <v>1800</v>
      </c>
      <c r="AU48" s="376">
        <f t="shared" si="20"/>
        <v>150</v>
      </c>
      <c r="AV48" s="35">
        <v>291</v>
      </c>
      <c r="AW48" s="380">
        <f t="shared" si="21"/>
        <v>56.1328125</v>
      </c>
      <c r="AX48" s="381"/>
      <c r="AY48" s="382">
        <v>0</v>
      </c>
      <c r="AZ48" s="383">
        <f t="shared" si="22"/>
        <v>3.1323529411764706</v>
      </c>
      <c r="BA48" s="368">
        <v>738</v>
      </c>
      <c r="BB48" s="310">
        <f t="shared" si="23"/>
        <v>0.748304468094561</v>
      </c>
      <c r="BC48" s="380">
        <f t="shared" si="24"/>
        <v>0.7391978553406223</v>
      </c>
      <c r="BD48" s="384">
        <f t="shared" si="25"/>
        <v>0.8333333333333334</v>
      </c>
      <c r="BE48" s="385" t="str">
        <f t="shared" si="26"/>
        <v>OK</v>
      </c>
      <c r="BF48" s="385" t="str">
        <f t="shared" si="27"/>
        <v>OK</v>
      </c>
    </row>
    <row r="50" spans="5:12" ht="11.25">
      <c r="E50" s="241"/>
      <c r="F50" s="64"/>
      <c r="G50" s="64" t="s">
        <v>111</v>
      </c>
      <c r="H50" s="64"/>
      <c r="I50" s="64"/>
      <c r="J50" s="64"/>
      <c r="K50" s="64"/>
      <c r="L50" s="13"/>
    </row>
    <row r="51" spans="2:12" ht="12" thickBot="1">
      <c r="B51" s="13"/>
      <c r="E51" s="276"/>
      <c r="F51" s="277" t="s">
        <v>120</v>
      </c>
      <c r="G51" s="278"/>
      <c r="H51" s="278"/>
      <c r="I51" s="279" t="s">
        <v>121</v>
      </c>
      <c r="J51" s="279"/>
      <c r="K51" s="280" t="s">
        <v>122</v>
      </c>
      <c r="L51" s="167"/>
    </row>
    <row r="52" spans="2:12" ht="12" thickTop="1">
      <c r="B52" s="167"/>
      <c r="C52" s="169"/>
      <c r="E52" s="241"/>
      <c r="F52" s="434" t="s">
        <v>5</v>
      </c>
      <c r="J52" s="281" t="s">
        <v>195</v>
      </c>
      <c r="K52" s="167"/>
      <c r="L52" s="167"/>
    </row>
    <row r="53" spans="2:12" ht="11.25">
      <c r="B53" s="167"/>
      <c r="C53" s="169"/>
      <c r="E53" s="276"/>
      <c r="F53" s="8"/>
      <c r="G53" s="75"/>
      <c r="H53" s="8" t="s">
        <v>21</v>
      </c>
      <c r="I53" s="75"/>
      <c r="J53" s="8"/>
      <c r="K53" s="269"/>
      <c r="L53" s="167"/>
    </row>
    <row r="54" spans="2:12" ht="11.25">
      <c r="B54" s="167"/>
      <c r="C54" s="169"/>
      <c r="E54" s="276"/>
      <c r="F54" s="8"/>
      <c r="J54" s="13"/>
      <c r="K54" s="10"/>
      <c r="L54" s="13"/>
    </row>
    <row r="55" spans="2:54" ht="12" thickBot="1">
      <c r="B55" s="36"/>
      <c r="E55" s="433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Z55" s="36"/>
      <c r="BA55" s="36"/>
      <c r="BB55" s="36"/>
    </row>
    <row r="56" spans="2:69" ht="12" thickBot="1">
      <c r="B56" s="138"/>
      <c r="C56" s="502"/>
      <c r="D56" s="54"/>
      <c r="E56" s="431" t="s">
        <v>193</v>
      </c>
      <c r="F56" s="432" t="s">
        <v>194</v>
      </c>
      <c r="G56" s="36"/>
      <c r="H56" s="36"/>
      <c r="I56" s="177"/>
      <c r="J56" s="36"/>
      <c r="K56" s="408"/>
      <c r="L56" s="36"/>
      <c r="M56" s="408"/>
      <c r="N56" s="433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151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99"/>
      <c r="AT56" s="99"/>
      <c r="AU56" s="99"/>
      <c r="AV56" s="99"/>
      <c r="AW56" s="99"/>
      <c r="AX56" s="99"/>
      <c r="AY56" s="99"/>
      <c r="BB56" s="151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122"/>
    </row>
    <row r="57" spans="2:69" ht="11.25">
      <c r="B57" s="446" t="s">
        <v>244</v>
      </c>
      <c r="C57" s="497" t="s">
        <v>56</v>
      </c>
      <c r="D57" s="54"/>
      <c r="E57" s="76"/>
      <c r="F57" s="56"/>
      <c r="G57" s="6" t="s">
        <v>58</v>
      </c>
      <c r="H57" s="6"/>
      <c r="I57" s="188"/>
      <c r="J57" s="6"/>
      <c r="K57" s="6"/>
      <c r="L57" s="6"/>
      <c r="M57" s="220"/>
      <c r="N57" s="243"/>
      <c r="O57" s="6"/>
      <c r="P57" s="3"/>
      <c r="Q57" s="38" t="s">
        <v>34</v>
      </c>
      <c r="R57" s="70"/>
      <c r="S57" s="26" t="s">
        <v>61</v>
      </c>
      <c r="T57" s="50"/>
      <c r="U57" s="5" t="s">
        <v>25</v>
      </c>
      <c r="V57" s="4"/>
      <c r="W57" s="4"/>
      <c r="X57" s="14" t="s">
        <v>49</v>
      </c>
      <c r="Y57" s="7"/>
      <c r="Z57" s="37"/>
      <c r="AA57" s="163" t="s">
        <v>96</v>
      </c>
      <c r="AB57" s="159"/>
      <c r="AC57" s="38" t="s">
        <v>17</v>
      </c>
      <c r="AD57" s="4"/>
      <c r="AE57" s="15" t="s">
        <v>7</v>
      </c>
      <c r="AF57" s="15" t="s">
        <v>7</v>
      </c>
      <c r="AG57" s="259" t="s">
        <v>7</v>
      </c>
      <c r="AH57" s="14" t="s">
        <v>7</v>
      </c>
      <c r="AI57" s="15" t="s">
        <v>7</v>
      </c>
      <c r="AJ57" s="42" t="s">
        <v>113</v>
      </c>
      <c r="AK57" s="45" t="s">
        <v>8</v>
      </c>
      <c r="AL57" s="98" t="s">
        <v>8</v>
      </c>
      <c r="AM57" s="43" t="s">
        <v>8</v>
      </c>
      <c r="AN57" s="43" t="s">
        <v>113</v>
      </c>
      <c r="AO57" s="43" t="s">
        <v>113</v>
      </c>
      <c r="AP57" s="43" t="s">
        <v>97</v>
      </c>
      <c r="AQ57" s="43" t="s">
        <v>97</v>
      </c>
      <c r="AR57" s="12" t="s">
        <v>98</v>
      </c>
      <c r="AS57" s="12" t="s">
        <v>98</v>
      </c>
      <c r="AT57" s="12" t="s">
        <v>5</v>
      </c>
      <c r="AU57" s="12" t="s">
        <v>195</v>
      </c>
      <c r="AV57" s="419" t="s">
        <v>196</v>
      </c>
      <c r="AW57" s="419" t="s">
        <v>197</v>
      </c>
      <c r="AX57" s="419" t="s">
        <v>198</v>
      </c>
      <c r="AY57" s="419" t="s">
        <v>199</v>
      </c>
      <c r="AZ57" s="420" t="s">
        <v>14</v>
      </c>
      <c r="BA57" s="421" t="s">
        <v>36</v>
      </c>
      <c r="BB57" s="39" t="s">
        <v>50</v>
      </c>
      <c r="BC57" s="42" t="s">
        <v>7</v>
      </c>
      <c r="BD57" s="14" t="s">
        <v>7</v>
      </c>
      <c r="BE57" s="15" t="s">
        <v>8</v>
      </c>
      <c r="BF57" s="15" t="s">
        <v>8</v>
      </c>
      <c r="BG57" s="42" t="s">
        <v>34</v>
      </c>
      <c r="BH57" s="41" t="s">
        <v>14</v>
      </c>
      <c r="BI57" s="41" t="s">
        <v>51</v>
      </c>
      <c r="BJ57" s="15" t="s">
        <v>9</v>
      </c>
      <c r="BK57" s="15" t="s">
        <v>10</v>
      </c>
      <c r="BL57" s="17" t="s">
        <v>29</v>
      </c>
      <c r="BM57" s="42" t="s">
        <v>41</v>
      </c>
      <c r="BN57" s="41" t="s">
        <v>42</v>
      </c>
      <c r="BO57" s="57" t="s">
        <v>99</v>
      </c>
      <c r="BP57" s="55" t="s">
        <v>7</v>
      </c>
      <c r="BQ57" s="56" t="s">
        <v>8</v>
      </c>
    </row>
    <row r="58" spans="2:69" ht="11.25">
      <c r="B58" s="93"/>
      <c r="C58" s="498"/>
      <c r="D58" s="54"/>
      <c r="E58" s="76"/>
      <c r="F58" s="44"/>
      <c r="G58" s="64"/>
      <c r="H58" s="64"/>
      <c r="I58" s="65"/>
      <c r="J58" s="64"/>
      <c r="K58" s="64"/>
      <c r="L58" s="64"/>
      <c r="M58" s="247"/>
      <c r="N58" s="244"/>
      <c r="O58" s="64"/>
      <c r="P58" s="69"/>
      <c r="Q58" s="14" t="s">
        <v>1</v>
      </c>
      <c r="R58" s="71"/>
      <c r="S58" s="72" t="s">
        <v>62</v>
      </c>
      <c r="T58" s="72" t="s">
        <v>63</v>
      </c>
      <c r="U58" s="12" t="s">
        <v>26</v>
      </c>
      <c r="V58" s="11"/>
      <c r="W58" s="11"/>
      <c r="Y58" s="16"/>
      <c r="Z58" s="41" t="s">
        <v>51</v>
      </c>
      <c r="AA58" s="160" t="s">
        <v>74</v>
      </c>
      <c r="AB58" s="41" t="s">
        <v>52</v>
      </c>
      <c r="AC58" s="14" t="s">
        <v>18</v>
      </c>
      <c r="AD58" s="15" t="s">
        <v>30</v>
      </c>
      <c r="AE58" s="15" t="s">
        <v>70</v>
      </c>
      <c r="AF58" s="15" t="s">
        <v>34</v>
      </c>
      <c r="AG58" s="15" t="s">
        <v>61</v>
      </c>
      <c r="AH58" s="98" t="s">
        <v>87</v>
      </c>
      <c r="AI58" s="15" t="s">
        <v>62</v>
      </c>
      <c r="AJ58" s="42" t="s">
        <v>7</v>
      </c>
      <c r="AK58" s="10"/>
      <c r="AL58" s="98" t="s">
        <v>67</v>
      </c>
      <c r="AM58" s="43" t="s">
        <v>81</v>
      </c>
      <c r="AN58" s="43" t="s">
        <v>200</v>
      </c>
      <c r="AO58" s="43" t="s">
        <v>200</v>
      </c>
      <c r="AP58" s="43" t="s">
        <v>15</v>
      </c>
      <c r="AQ58" s="43" t="s">
        <v>15</v>
      </c>
      <c r="AR58" s="12"/>
      <c r="AS58" s="12"/>
      <c r="AT58" s="12"/>
      <c r="AU58" s="12"/>
      <c r="AV58" s="419"/>
      <c r="AW58" s="419"/>
      <c r="AX58" s="419"/>
      <c r="AY58" s="419"/>
      <c r="AZ58" s="76"/>
      <c r="BA58" s="422"/>
      <c r="BB58" s="44" t="s">
        <v>37</v>
      </c>
      <c r="BC58" s="42" t="s">
        <v>85</v>
      </c>
      <c r="BD58" s="13"/>
      <c r="BE58" s="11"/>
      <c r="BF58" s="11"/>
      <c r="BG58" s="42" t="s">
        <v>33</v>
      </c>
      <c r="BH58" s="17" t="s">
        <v>85</v>
      </c>
      <c r="BI58" s="40" t="s">
        <v>34</v>
      </c>
      <c r="BJ58" s="10"/>
      <c r="BK58" s="13"/>
      <c r="BL58" s="17" t="s">
        <v>46</v>
      </c>
      <c r="BM58" s="42" t="s">
        <v>13</v>
      </c>
      <c r="BN58" s="41"/>
      <c r="BO58" s="54"/>
      <c r="BP58" s="58" t="s">
        <v>39</v>
      </c>
      <c r="BQ58" s="44" t="s">
        <v>39</v>
      </c>
    </row>
    <row r="59" spans="2:69" ht="11.25">
      <c r="B59" s="93"/>
      <c r="C59" s="498"/>
      <c r="D59" s="54"/>
      <c r="E59" s="76"/>
      <c r="F59" s="44"/>
      <c r="G59" s="73" t="s">
        <v>59</v>
      </c>
      <c r="H59" s="10" t="s">
        <v>56</v>
      </c>
      <c r="I59" s="269" t="s">
        <v>88</v>
      </c>
      <c r="J59" s="15" t="s">
        <v>47</v>
      </c>
      <c r="K59" s="15" t="s">
        <v>0</v>
      </c>
      <c r="L59" s="15" t="s">
        <v>2</v>
      </c>
      <c r="M59" s="43" t="s">
        <v>90</v>
      </c>
      <c r="N59" s="245" t="s">
        <v>91</v>
      </c>
      <c r="O59" s="15" t="s">
        <v>95</v>
      </c>
      <c r="P59" s="15" t="s">
        <v>3</v>
      </c>
      <c r="Q59" s="14" t="s">
        <v>19</v>
      </c>
      <c r="R59" s="15" t="s">
        <v>4</v>
      </c>
      <c r="S59" s="15" t="s">
        <v>19</v>
      </c>
      <c r="T59" s="15" t="s">
        <v>56</v>
      </c>
      <c r="U59" s="12" t="s">
        <v>16</v>
      </c>
      <c r="V59" s="15" t="s">
        <v>21</v>
      </c>
      <c r="W59" s="15" t="s">
        <v>48</v>
      </c>
      <c r="X59" s="14" t="s">
        <v>6</v>
      </c>
      <c r="Y59" s="17" t="s">
        <v>5</v>
      </c>
      <c r="Z59" s="41" t="s">
        <v>53</v>
      </c>
      <c r="AA59" s="161"/>
      <c r="AB59" s="41"/>
      <c r="AC59" s="14" t="s">
        <v>32</v>
      </c>
      <c r="AD59" s="15" t="s">
        <v>31</v>
      </c>
      <c r="AE59" s="15" t="s">
        <v>71</v>
      </c>
      <c r="AF59" s="15" t="s">
        <v>72</v>
      </c>
      <c r="AG59" s="15"/>
      <c r="AH59" s="98" t="s">
        <v>86</v>
      </c>
      <c r="AI59" s="15"/>
      <c r="AJ59" s="15" t="s">
        <v>111</v>
      </c>
      <c r="AK59" s="11"/>
      <c r="AL59" s="98" t="s">
        <v>27</v>
      </c>
      <c r="AM59" s="43" t="s">
        <v>201</v>
      </c>
      <c r="AN59" s="43" t="s">
        <v>111</v>
      </c>
      <c r="AO59" s="43" t="s">
        <v>202</v>
      </c>
      <c r="AP59" s="15" t="s">
        <v>83</v>
      </c>
      <c r="AQ59" s="15" t="s">
        <v>114</v>
      </c>
      <c r="AR59" s="42" t="s">
        <v>83</v>
      </c>
      <c r="AS59" s="42" t="s">
        <v>114</v>
      </c>
      <c r="AT59" s="42"/>
      <c r="AU59" s="42"/>
      <c r="AV59" s="76"/>
      <c r="AW59" s="76"/>
      <c r="AX59" s="76"/>
      <c r="AY59" s="76"/>
      <c r="AZ59" s="76"/>
      <c r="BA59" s="422"/>
      <c r="BB59" s="41" t="s">
        <v>54</v>
      </c>
      <c r="BC59" s="134"/>
      <c r="BD59" s="11"/>
      <c r="BE59" s="11"/>
      <c r="BF59" s="11"/>
      <c r="BG59" s="11"/>
      <c r="BH59" s="16"/>
      <c r="BI59" s="40" t="s">
        <v>84</v>
      </c>
      <c r="BJ59" s="10"/>
      <c r="BK59" s="11"/>
      <c r="BL59" s="54"/>
      <c r="BM59" s="10"/>
      <c r="BN59" s="16"/>
      <c r="BO59" s="93"/>
      <c r="BP59" s="93"/>
      <c r="BQ59" s="93"/>
    </row>
    <row r="60" spans="2:69" ht="12" thickBot="1">
      <c r="B60" s="381"/>
      <c r="C60" s="499" t="s">
        <v>246</v>
      </c>
      <c r="D60" s="54"/>
      <c r="E60" s="77"/>
      <c r="F60" s="62"/>
      <c r="G60" s="18" t="s">
        <v>60</v>
      </c>
      <c r="H60" s="18" t="s">
        <v>11</v>
      </c>
      <c r="I60" s="270"/>
      <c r="J60" s="1" t="s">
        <v>43</v>
      </c>
      <c r="K60" s="1" t="s">
        <v>40</v>
      </c>
      <c r="L60" s="1" t="s">
        <v>40</v>
      </c>
      <c r="M60" s="48"/>
      <c r="N60" s="246"/>
      <c r="O60" s="1"/>
      <c r="P60" s="1" t="s">
        <v>44</v>
      </c>
      <c r="Q60" s="20" t="s">
        <v>40</v>
      </c>
      <c r="R60" s="1" t="s">
        <v>44</v>
      </c>
      <c r="S60" s="1" t="s">
        <v>40</v>
      </c>
      <c r="T60" s="1" t="s">
        <v>57</v>
      </c>
      <c r="U60" s="19" t="s">
        <v>40</v>
      </c>
      <c r="V60" s="1" t="s">
        <v>12</v>
      </c>
      <c r="W60" s="1" t="s">
        <v>40</v>
      </c>
      <c r="X60" s="20" t="s">
        <v>35</v>
      </c>
      <c r="Y60" s="21" t="s">
        <v>40</v>
      </c>
      <c r="Z60" s="41" t="s">
        <v>45</v>
      </c>
      <c r="AA60" s="161"/>
      <c r="AB60" s="17" t="s">
        <v>35</v>
      </c>
      <c r="AC60" s="14" t="s">
        <v>24</v>
      </c>
      <c r="AD60" s="15" t="s">
        <v>22</v>
      </c>
      <c r="AE60" s="15" t="s">
        <v>28</v>
      </c>
      <c r="AF60" s="15" t="s">
        <v>28</v>
      </c>
      <c r="AG60" s="42" t="s">
        <v>28</v>
      </c>
      <c r="AH60" s="42" t="s">
        <v>11</v>
      </c>
      <c r="AI60" s="15" t="s">
        <v>11</v>
      </c>
      <c r="AJ60" s="42" t="s">
        <v>112</v>
      </c>
      <c r="AK60" s="45" t="s">
        <v>28</v>
      </c>
      <c r="AL60" s="11"/>
      <c r="AM60" s="43" t="s">
        <v>11</v>
      </c>
      <c r="AN60" s="43" t="s">
        <v>112</v>
      </c>
      <c r="AO60" s="43" t="s">
        <v>112</v>
      </c>
      <c r="AP60" s="215" t="s">
        <v>11</v>
      </c>
      <c r="AQ60" s="354" t="s">
        <v>112</v>
      </c>
      <c r="AR60" s="309" t="s">
        <v>11</v>
      </c>
      <c r="AS60" s="309" t="s">
        <v>11</v>
      </c>
      <c r="AT60" s="309" t="s">
        <v>12</v>
      </c>
      <c r="AU60" s="309" t="s">
        <v>12</v>
      </c>
      <c r="AV60" s="305" t="s">
        <v>45</v>
      </c>
      <c r="AW60" s="305" t="s">
        <v>45</v>
      </c>
      <c r="AX60" s="305" t="s">
        <v>45</v>
      </c>
      <c r="AY60" s="305" t="s">
        <v>45</v>
      </c>
      <c r="AZ60" s="305" t="s">
        <v>45</v>
      </c>
      <c r="BA60" s="422" t="s">
        <v>35</v>
      </c>
      <c r="BB60" s="57" t="s">
        <v>23</v>
      </c>
      <c r="BC60" s="135" t="s">
        <v>11</v>
      </c>
      <c r="BD60" s="59" t="s">
        <v>20</v>
      </c>
      <c r="BE60" s="60" t="s">
        <v>11</v>
      </c>
      <c r="BF60" s="60" t="s">
        <v>20</v>
      </c>
      <c r="BG60" s="47" t="s">
        <v>38</v>
      </c>
      <c r="BH60" s="46" t="s">
        <v>45</v>
      </c>
      <c r="BI60" s="46" t="s">
        <v>45</v>
      </c>
      <c r="BJ60" s="1" t="s">
        <v>40</v>
      </c>
      <c r="BK60" s="1" t="s">
        <v>40</v>
      </c>
      <c r="BL60" s="49" t="s">
        <v>38</v>
      </c>
      <c r="BM60" s="2" t="s">
        <v>40</v>
      </c>
      <c r="BN60" s="46" t="s">
        <v>40</v>
      </c>
      <c r="BO60" s="136" t="s">
        <v>40</v>
      </c>
      <c r="BP60" s="61" t="s">
        <v>23</v>
      </c>
      <c r="BQ60" s="61" t="s">
        <v>23</v>
      </c>
    </row>
    <row r="61" spans="2:69" ht="11.25">
      <c r="B61" s="118">
        <v>1</v>
      </c>
      <c r="C61" s="503">
        <f aca="true" t="shared" si="28" ref="C61:C66">B61*V61*$H61/1000</f>
        <v>0.945</v>
      </c>
      <c r="D61" s="54"/>
      <c r="E61" s="123" t="s">
        <v>136</v>
      </c>
      <c r="F61" s="78" t="s">
        <v>186</v>
      </c>
      <c r="G61" s="222" t="s">
        <v>203</v>
      </c>
      <c r="H61" s="222">
        <v>35</v>
      </c>
      <c r="I61" s="272"/>
      <c r="J61" s="29">
        <v>10.3</v>
      </c>
      <c r="K61" s="29">
        <v>17.7</v>
      </c>
      <c r="L61" s="32">
        <v>0.3</v>
      </c>
      <c r="M61" s="248"/>
      <c r="N61" s="154"/>
      <c r="O61" s="208" t="str">
        <f aca="true" t="shared" si="29" ref="O61:O66">IF(M61&lt;1.1*((N61*29000)/P61)^0.5,1,"NO")</f>
        <v>NO</v>
      </c>
      <c r="P61" s="4">
        <v>50</v>
      </c>
      <c r="Q61" s="6">
        <v>1.5</v>
      </c>
      <c r="R61" s="4">
        <v>4</v>
      </c>
      <c r="S61" s="140">
        <v>4</v>
      </c>
      <c r="T61" s="4">
        <v>115</v>
      </c>
      <c r="U61" s="24">
        <v>285</v>
      </c>
      <c r="V61" s="22">
        <v>27</v>
      </c>
      <c r="W61" s="23">
        <f aca="true" t="shared" si="30" ref="W61:W66">MIN((V61/4)*12,U61)</f>
        <v>81</v>
      </c>
      <c r="X61" s="27">
        <f aca="true" t="shared" si="31" ref="X61:X66">J61*P61</f>
        <v>515</v>
      </c>
      <c r="Y61" s="28">
        <f aca="true" t="shared" si="32" ref="Y61:Y66">(J61*P61)/(0.85*R61*W61)</f>
        <v>1.870007262164125</v>
      </c>
      <c r="Z61" s="102">
        <f aca="true" t="shared" si="33" ref="Z61:Z66">(0.9*((J61*P61*(K61/2))+(0.85*R61*Y61*W61*(S61-(Y61/2)))))/12</f>
        <v>460.2167347494553</v>
      </c>
      <c r="AA61" s="162">
        <f aca="true" t="shared" si="34" ref="AA61:AA66">IF(I61="v",0.9,1)</f>
        <v>1</v>
      </c>
      <c r="AB61" s="209">
        <f aca="true" t="shared" si="35" ref="AB61:AB66">IF(O61="NO",AA61*0.6*P61*K61*L61,AA61*0.6*P61*K61*L61*O61)</f>
        <v>159.29999999999998</v>
      </c>
      <c r="AC61" s="6">
        <v>17.2</v>
      </c>
      <c r="AD61" s="143">
        <f aca="true" t="shared" si="36" ref="AD61:AD66">(X61/AC61)*2</f>
        <v>59.88372093023256</v>
      </c>
      <c r="AE61" s="4">
        <v>30</v>
      </c>
      <c r="AF61" s="4">
        <v>1.6</v>
      </c>
      <c r="AG61" s="141">
        <v>29</v>
      </c>
      <c r="AH61" s="141">
        <v>0</v>
      </c>
      <c r="AI61" s="144">
        <f aca="true" t="shared" si="37" ref="AI61:AI66">((AE61+AG61+AF61)*(U61/12))+H61+AH61</f>
        <v>1474.25</v>
      </c>
      <c r="AJ61" s="262">
        <v>9947</v>
      </c>
      <c r="AK61" s="24">
        <v>80</v>
      </c>
      <c r="AL61" s="142">
        <f aca="true" t="shared" si="38" ref="AL61:AL66">IF(0.25+(15/($F$8*V61*(U61/12))^0.5)&gt;0.5,IF(0.25+(15/($F$8*V61*(U61/12))^0.5)&gt;1,1,0.25+(15/($F$8*V61*(U61/12))^0.5)),0.5)</f>
        <v>0.6688539082916956</v>
      </c>
      <c r="AM61" s="143">
        <f aca="true" t="shared" si="39" ref="AM61:AM66">(AK61*AL61)*(U61/12)</f>
        <v>1270.8224257542215</v>
      </c>
      <c r="AN61" s="190">
        <v>3438</v>
      </c>
      <c r="AO61" s="290">
        <f aca="true" t="shared" si="40" ref="AO61:AO66">AN61*AL61</f>
        <v>2299.5197367068495</v>
      </c>
      <c r="AP61" s="143">
        <f aca="true" t="shared" si="41" ref="AP61:AP66">(1.2*AI61)+(1.6*AM61)</f>
        <v>3802.4158812067544</v>
      </c>
      <c r="AQ61" s="85">
        <f aca="true" t="shared" si="42" ref="AQ61:AQ66">(1.2*AJ61)+(1.6*AO61)</f>
        <v>15615.63157873096</v>
      </c>
      <c r="AR61" s="252">
        <f aca="true" t="shared" si="43" ref="AR61:AS66">1.4*AI61</f>
        <v>2063.95</v>
      </c>
      <c r="AS61" s="85">
        <f t="shared" si="43"/>
        <v>13925.8</v>
      </c>
      <c r="AT61" s="423">
        <v>2</v>
      </c>
      <c r="AU61" s="423">
        <v>25</v>
      </c>
      <c r="AV61" s="290">
        <f aca="true" t="shared" si="44" ref="AV61:AV66">AQ61*AT61*AU61/V61/1000</f>
        <v>28.917836256909183</v>
      </c>
      <c r="AW61" s="290">
        <f aca="true" t="shared" si="45" ref="AW61:AW66">((V61/2)/AU61)*AV61</f>
        <v>15.61563157873096</v>
      </c>
      <c r="AX61" s="290">
        <f aca="true" t="shared" si="46" ref="AX61:AX66">AP61*AT61*(V61-AT61)/2000</f>
        <v>95.06039703016886</v>
      </c>
      <c r="AY61" s="290">
        <f aca="true" t="shared" si="47" ref="AY61:AY66">MAX((AR61*V61*V61)/8000,(AP61*V61*V61)/8000)</f>
        <v>346.49514717496555</v>
      </c>
      <c r="AZ61" s="23">
        <f aca="true" t="shared" si="48" ref="AZ61:AZ66">MAX(AV61+AX61,AW61+AY61)</f>
        <v>362.11077875369654</v>
      </c>
      <c r="BA61" s="51">
        <f aca="true" t="shared" si="49" ref="BA61:BA66">(AQ61*AU61/V61/1000)+(AP61*V61/2000)</f>
        <v>65.79153252474578</v>
      </c>
      <c r="BB61" s="90" t="str">
        <f aca="true" t="shared" si="50" ref="BB61:BB66">IF(AND(Z61&gt;AZ61,AB61&gt;BA61),"OK","NG")</f>
        <v>OK</v>
      </c>
      <c r="BC61" s="103">
        <f aca="true" t="shared" si="51" ref="BC61:BC66">((AF61+AG61)*(U61/12))+H61</f>
        <v>761.75</v>
      </c>
      <c r="BD61" s="145">
        <f aca="true" t="shared" si="52" ref="BD61:BD66">BC61/12</f>
        <v>63.479166666666664</v>
      </c>
      <c r="BE61" s="143">
        <f aca="true" t="shared" si="53" ref="BE61:BE66">AK61*(U61/12)</f>
        <v>1900</v>
      </c>
      <c r="BF61" s="143">
        <f aca="true" t="shared" si="54" ref="BF61:BF66">BE61/12</f>
        <v>158.33333333333334</v>
      </c>
      <c r="BG61" s="31">
        <v>510</v>
      </c>
      <c r="BH61" s="68">
        <f aca="true" t="shared" si="55" ref="BH61:BH66">((BC61*V61*V61)/8000)+(AJ61*AT61*AU61/V61/1000)</f>
        <v>87.83483912037036</v>
      </c>
      <c r="BI61" s="118"/>
      <c r="BJ61" s="126">
        <v>0</v>
      </c>
      <c r="BK61" s="237">
        <f aca="true" t="shared" si="56" ref="BK61:BK66">S61-Y61/2</f>
        <v>3.0649963689179374</v>
      </c>
      <c r="BL61" s="67">
        <v>1230</v>
      </c>
      <c r="BM61" s="162">
        <f aca="true" t="shared" si="57" ref="BM61:BM66">(5*(BD61)*((V61*12)^4))/(384*29000000*BG61)+((AJ61*(AT61*12)*((V61*12)/2)*((V61*12)^2-(AT61*12)^2-((V61*12)/2)^2))/(6*29000000*BG61*(V61*12)))</f>
        <v>0.7209872923174443</v>
      </c>
      <c r="BN61" s="68">
        <f aca="true" t="shared" si="58" ref="BN61:BN66">(5*(BF61)*((V61*12)^4))/(384*29000000*BL61)+((AN61*(AT61*12)*((V61*12)/2)*((V61*12)^2-(AT61*12)^2-((V61*12)/2)^2))/(6*29000000*BL61*(V61*12)))</f>
        <v>0.6519905636669471</v>
      </c>
      <c r="BO61" s="102">
        <f aca="true" t="shared" si="59" ref="BO61:BO66">(V61/360)*12</f>
        <v>0.8999999999999999</v>
      </c>
      <c r="BP61" s="90" t="str">
        <f aca="true" t="shared" si="60" ref="BP61:BP66">IF(BM61&gt;BO61,"NG","OK")</f>
        <v>OK</v>
      </c>
      <c r="BQ61" s="90" t="str">
        <f aca="true" t="shared" si="61" ref="BQ61:BQ66">IF(BN61&gt;BO61,"NG","OK")</f>
        <v>OK</v>
      </c>
    </row>
    <row r="62" spans="2:69" ht="12" thickBot="1">
      <c r="B62" s="165">
        <v>1</v>
      </c>
      <c r="C62" s="504">
        <f t="shared" si="28"/>
        <v>0.945</v>
      </c>
      <c r="D62" s="54"/>
      <c r="E62" s="115" t="s">
        <v>137</v>
      </c>
      <c r="F62" s="405" t="s">
        <v>171</v>
      </c>
      <c r="G62" s="218" t="s">
        <v>203</v>
      </c>
      <c r="H62" s="218">
        <v>35</v>
      </c>
      <c r="I62" s="273"/>
      <c r="J62" s="100">
        <v>10.3</v>
      </c>
      <c r="K62" s="100">
        <v>17.7</v>
      </c>
      <c r="L62" s="116">
        <v>0.3</v>
      </c>
      <c r="M62" s="183"/>
      <c r="N62" s="156"/>
      <c r="O62" s="158" t="str">
        <f t="shared" si="29"/>
        <v>NO</v>
      </c>
      <c r="P62" s="109">
        <v>50</v>
      </c>
      <c r="Q62" s="95">
        <v>1.5</v>
      </c>
      <c r="R62" s="109">
        <v>4</v>
      </c>
      <c r="S62" s="100">
        <v>4</v>
      </c>
      <c r="T62" s="109">
        <v>115</v>
      </c>
      <c r="U62" s="108">
        <v>285</v>
      </c>
      <c r="V62" s="100">
        <v>27</v>
      </c>
      <c r="W62" s="107">
        <f t="shared" si="30"/>
        <v>81</v>
      </c>
      <c r="X62" s="105">
        <f t="shared" si="31"/>
        <v>515</v>
      </c>
      <c r="Y62" s="117">
        <f t="shared" si="32"/>
        <v>1.870007262164125</v>
      </c>
      <c r="Z62" s="113">
        <f t="shared" si="33"/>
        <v>460.2167347494553</v>
      </c>
      <c r="AA62" s="164">
        <f t="shared" si="34"/>
        <v>1</v>
      </c>
      <c r="AB62" s="129">
        <f t="shared" si="35"/>
        <v>159.29999999999998</v>
      </c>
      <c r="AC62" s="228">
        <v>17.2</v>
      </c>
      <c r="AD62" s="106">
        <f t="shared" si="36"/>
        <v>59.88372093023256</v>
      </c>
      <c r="AE62" s="109">
        <v>30</v>
      </c>
      <c r="AF62" s="109">
        <v>1.6</v>
      </c>
      <c r="AG62" s="183">
        <v>29</v>
      </c>
      <c r="AH62" s="183">
        <v>0</v>
      </c>
      <c r="AI62" s="133">
        <f t="shared" si="37"/>
        <v>1474.25</v>
      </c>
      <c r="AJ62" s="264">
        <v>9947</v>
      </c>
      <c r="AK62" s="108">
        <v>80</v>
      </c>
      <c r="AL62" s="107">
        <f t="shared" si="38"/>
        <v>0.6688539082916956</v>
      </c>
      <c r="AM62" s="106">
        <f t="shared" si="39"/>
        <v>1270.8224257542215</v>
      </c>
      <c r="AN62" s="266">
        <v>3438</v>
      </c>
      <c r="AO62" s="106">
        <f t="shared" si="40"/>
        <v>2299.5197367068495</v>
      </c>
      <c r="AP62" s="106">
        <f t="shared" si="41"/>
        <v>3802.4158812067544</v>
      </c>
      <c r="AQ62" s="106">
        <f t="shared" si="42"/>
        <v>15615.63157873096</v>
      </c>
      <c r="AR62" s="106">
        <f t="shared" si="43"/>
        <v>2063.95</v>
      </c>
      <c r="AS62" s="106">
        <f t="shared" si="43"/>
        <v>13925.8</v>
      </c>
      <c r="AT62" s="266">
        <v>2</v>
      </c>
      <c r="AU62" s="266">
        <v>25</v>
      </c>
      <c r="AV62" s="106">
        <f t="shared" si="44"/>
        <v>28.917836256909183</v>
      </c>
      <c r="AW62" s="106">
        <f t="shared" si="45"/>
        <v>15.61563157873096</v>
      </c>
      <c r="AX62" s="106">
        <f t="shared" si="46"/>
        <v>95.06039703016886</v>
      </c>
      <c r="AY62" s="106">
        <f t="shared" si="47"/>
        <v>346.49514717496555</v>
      </c>
      <c r="AZ62" s="107">
        <f t="shared" si="48"/>
        <v>362.11077875369654</v>
      </c>
      <c r="BA62" s="129">
        <f t="shared" si="49"/>
        <v>65.79153252474578</v>
      </c>
      <c r="BB62" s="92" t="str">
        <f t="shared" si="50"/>
        <v>OK</v>
      </c>
      <c r="BC62" s="104">
        <f t="shared" si="51"/>
        <v>761.75</v>
      </c>
      <c r="BD62" s="106">
        <f t="shared" si="52"/>
        <v>63.479166666666664</v>
      </c>
      <c r="BE62" s="106">
        <f t="shared" si="53"/>
        <v>1900</v>
      </c>
      <c r="BF62" s="106">
        <f t="shared" si="54"/>
        <v>158.33333333333334</v>
      </c>
      <c r="BG62" s="108">
        <v>510</v>
      </c>
      <c r="BH62" s="111">
        <f t="shared" si="55"/>
        <v>87.83483912037036</v>
      </c>
      <c r="BI62" s="165"/>
      <c r="BJ62" s="127">
        <v>0</v>
      </c>
      <c r="BK62" s="240">
        <f t="shared" si="56"/>
        <v>3.0649963689179374</v>
      </c>
      <c r="BL62" s="110">
        <v>1230</v>
      </c>
      <c r="BM62" s="164">
        <f t="shared" si="57"/>
        <v>0.7209872923174443</v>
      </c>
      <c r="BN62" s="111">
        <f t="shared" si="58"/>
        <v>0.6519905636669471</v>
      </c>
      <c r="BO62" s="113">
        <f t="shared" si="59"/>
        <v>0.8999999999999999</v>
      </c>
      <c r="BP62" s="92" t="str">
        <f t="shared" si="60"/>
        <v>OK</v>
      </c>
      <c r="BQ62" s="92" t="str">
        <f t="shared" si="61"/>
        <v>OK</v>
      </c>
    </row>
    <row r="63" spans="2:69" ht="11.25">
      <c r="B63" s="254">
        <v>1</v>
      </c>
      <c r="C63" s="503">
        <f t="shared" si="28"/>
        <v>0.312</v>
      </c>
      <c r="D63" s="54"/>
      <c r="E63" s="458" t="s">
        <v>204</v>
      </c>
      <c r="F63" s="178" t="s">
        <v>184</v>
      </c>
      <c r="G63" s="179" t="s">
        <v>110</v>
      </c>
      <c r="H63" s="179">
        <v>16</v>
      </c>
      <c r="I63" s="390"/>
      <c r="J63" s="80">
        <v>4.71</v>
      </c>
      <c r="K63" s="80">
        <v>12</v>
      </c>
      <c r="L63" s="296">
        <v>0.22</v>
      </c>
      <c r="M63" s="410"/>
      <c r="N63" s="391"/>
      <c r="O63" s="392" t="str">
        <f t="shared" si="29"/>
        <v>NO</v>
      </c>
      <c r="P63" s="297">
        <v>50</v>
      </c>
      <c r="Q63" s="64">
        <v>1.5</v>
      </c>
      <c r="R63" s="297">
        <v>4</v>
      </c>
      <c r="S63" s="80">
        <v>4</v>
      </c>
      <c r="T63" s="297">
        <v>115</v>
      </c>
      <c r="U63" s="410">
        <v>78.75</v>
      </c>
      <c r="V63" s="80">
        <v>19.5</v>
      </c>
      <c r="W63" s="82">
        <f t="shared" si="30"/>
        <v>58.5</v>
      </c>
      <c r="X63" s="83">
        <f t="shared" si="31"/>
        <v>235.5</v>
      </c>
      <c r="Y63" s="84">
        <f t="shared" si="32"/>
        <v>1.1840120663650076</v>
      </c>
      <c r="Z63" s="211">
        <f t="shared" si="33"/>
        <v>166.16869343891403</v>
      </c>
      <c r="AA63" s="132">
        <f t="shared" si="34"/>
        <v>1</v>
      </c>
      <c r="AB63" s="86">
        <f t="shared" si="35"/>
        <v>79.2</v>
      </c>
      <c r="AC63" s="487">
        <v>17.2</v>
      </c>
      <c r="AD63" s="85">
        <f t="shared" si="36"/>
        <v>27.38372093023256</v>
      </c>
      <c r="AE63" s="297">
        <v>30</v>
      </c>
      <c r="AF63" s="297">
        <v>1.6</v>
      </c>
      <c r="AG63" s="410">
        <v>29</v>
      </c>
      <c r="AH63" s="410">
        <v>0</v>
      </c>
      <c r="AI63" s="454">
        <f t="shared" si="37"/>
        <v>413.6875</v>
      </c>
      <c r="AJ63" s="197">
        <v>13404</v>
      </c>
      <c r="AK63" s="410">
        <v>80</v>
      </c>
      <c r="AL63" s="82">
        <f t="shared" si="38"/>
        <v>1</v>
      </c>
      <c r="AM63" s="85">
        <f t="shared" si="39"/>
        <v>525</v>
      </c>
      <c r="AN63" s="185">
        <v>2188</v>
      </c>
      <c r="AO63" s="85">
        <f t="shared" si="40"/>
        <v>2188</v>
      </c>
      <c r="AP63" s="85">
        <f t="shared" si="41"/>
        <v>1336.425</v>
      </c>
      <c r="AQ63" s="85">
        <f t="shared" si="42"/>
        <v>19585.6</v>
      </c>
      <c r="AR63" s="85">
        <f t="shared" si="43"/>
        <v>579.1624999999999</v>
      </c>
      <c r="AS63" s="85">
        <f t="shared" si="43"/>
        <v>18765.6</v>
      </c>
      <c r="AT63" s="185">
        <v>2</v>
      </c>
      <c r="AU63" s="185">
        <v>17.5</v>
      </c>
      <c r="AV63" s="85">
        <f t="shared" si="44"/>
        <v>35.15364102564102</v>
      </c>
      <c r="AW63" s="85">
        <f t="shared" si="45"/>
        <v>19.5856</v>
      </c>
      <c r="AX63" s="85">
        <f t="shared" si="46"/>
        <v>23.3874375</v>
      </c>
      <c r="AY63" s="85">
        <f t="shared" si="47"/>
        <v>63.52195078124999</v>
      </c>
      <c r="AZ63" s="82">
        <f t="shared" si="48"/>
        <v>83.10755078124998</v>
      </c>
      <c r="BA63" s="86">
        <f t="shared" si="49"/>
        <v>30.60696426282051</v>
      </c>
      <c r="BB63" s="89" t="str">
        <f t="shared" si="50"/>
        <v>OK</v>
      </c>
      <c r="BC63" s="114">
        <f t="shared" si="51"/>
        <v>216.8125</v>
      </c>
      <c r="BD63" s="85">
        <f t="shared" si="52"/>
        <v>18.067708333333332</v>
      </c>
      <c r="BE63" s="85">
        <f t="shared" si="53"/>
        <v>525</v>
      </c>
      <c r="BF63" s="85">
        <f t="shared" si="54"/>
        <v>43.75</v>
      </c>
      <c r="BG63" s="410">
        <v>103</v>
      </c>
      <c r="BH63" s="88">
        <f t="shared" si="55"/>
        <v>34.36383067908654</v>
      </c>
      <c r="BI63" s="427"/>
      <c r="BJ63" s="300">
        <v>0</v>
      </c>
      <c r="BK63" s="301">
        <f t="shared" si="56"/>
        <v>3.407993966817496</v>
      </c>
      <c r="BL63" s="429">
        <v>312</v>
      </c>
      <c r="BM63" s="132">
        <f t="shared" si="57"/>
        <v>0.5995425908369862</v>
      </c>
      <c r="BN63" s="88">
        <f t="shared" si="58"/>
        <v>0.20835087635734417</v>
      </c>
      <c r="BO63" s="211">
        <f t="shared" si="59"/>
        <v>0.65</v>
      </c>
      <c r="BP63" s="89" t="str">
        <f t="shared" si="60"/>
        <v>OK</v>
      </c>
      <c r="BQ63" s="89" t="str">
        <f t="shared" si="61"/>
        <v>OK</v>
      </c>
    </row>
    <row r="64" spans="2:69" ht="12" thickBot="1">
      <c r="B64" s="165">
        <v>1</v>
      </c>
      <c r="C64" s="507">
        <f t="shared" si="28"/>
        <v>0.312</v>
      </c>
      <c r="D64" s="54"/>
      <c r="E64" s="115" t="s">
        <v>205</v>
      </c>
      <c r="F64" s="405" t="s">
        <v>161</v>
      </c>
      <c r="G64" s="218" t="s">
        <v>110</v>
      </c>
      <c r="H64" s="218">
        <v>16</v>
      </c>
      <c r="I64" s="273"/>
      <c r="J64" s="100">
        <v>4.71</v>
      </c>
      <c r="K64" s="100">
        <v>12</v>
      </c>
      <c r="L64" s="116">
        <v>0.22</v>
      </c>
      <c r="M64" s="183"/>
      <c r="N64" s="156"/>
      <c r="O64" s="158" t="str">
        <f t="shared" si="29"/>
        <v>NO</v>
      </c>
      <c r="P64" s="109">
        <v>50</v>
      </c>
      <c r="Q64" s="95">
        <v>1.5</v>
      </c>
      <c r="R64" s="109">
        <v>4</v>
      </c>
      <c r="S64" s="100">
        <v>4</v>
      </c>
      <c r="T64" s="109">
        <v>115</v>
      </c>
      <c r="U64" s="108">
        <v>78.75</v>
      </c>
      <c r="V64" s="100">
        <v>19.5</v>
      </c>
      <c r="W64" s="107">
        <f t="shared" si="30"/>
        <v>58.5</v>
      </c>
      <c r="X64" s="105">
        <f t="shared" si="31"/>
        <v>235.5</v>
      </c>
      <c r="Y64" s="117">
        <f t="shared" si="32"/>
        <v>1.1840120663650076</v>
      </c>
      <c r="Z64" s="113">
        <f t="shared" si="33"/>
        <v>166.16869343891403</v>
      </c>
      <c r="AA64" s="164">
        <f t="shared" si="34"/>
        <v>1</v>
      </c>
      <c r="AB64" s="129">
        <f t="shared" si="35"/>
        <v>79.2</v>
      </c>
      <c r="AC64" s="95">
        <v>17.2</v>
      </c>
      <c r="AD64" s="106">
        <f t="shared" si="36"/>
        <v>27.38372093023256</v>
      </c>
      <c r="AE64" s="109">
        <v>30</v>
      </c>
      <c r="AF64" s="109">
        <v>1.6</v>
      </c>
      <c r="AG64" s="183">
        <v>29</v>
      </c>
      <c r="AH64" s="183">
        <v>0</v>
      </c>
      <c r="AI64" s="133">
        <f t="shared" si="37"/>
        <v>413.6875</v>
      </c>
      <c r="AJ64" s="267">
        <v>13404</v>
      </c>
      <c r="AK64" s="183">
        <v>80</v>
      </c>
      <c r="AL64" s="107">
        <f t="shared" si="38"/>
        <v>1</v>
      </c>
      <c r="AM64" s="106">
        <f t="shared" si="39"/>
        <v>525</v>
      </c>
      <c r="AN64" s="266">
        <v>2188</v>
      </c>
      <c r="AO64" s="106">
        <f t="shared" si="40"/>
        <v>2188</v>
      </c>
      <c r="AP64" s="106">
        <f t="shared" si="41"/>
        <v>1336.425</v>
      </c>
      <c r="AQ64" s="106">
        <f t="shared" si="42"/>
        <v>19585.6</v>
      </c>
      <c r="AR64" s="106">
        <f t="shared" si="43"/>
        <v>579.1624999999999</v>
      </c>
      <c r="AS64" s="106">
        <f t="shared" si="43"/>
        <v>18765.6</v>
      </c>
      <c r="AT64" s="266">
        <v>2</v>
      </c>
      <c r="AU64" s="266">
        <v>17.5</v>
      </c>
      <c r="AV64" s="106">
        <f t="shared" si="44"/>
        <v>35.15364102564102</v>
      </c>
      <c r="AW64" s="106">
        <f t="shared" si="45"/>
        <v>19.5856</v>
      </c>
      <c r="AX64" s="106">
        <f t="shared" si="46"/>
        <v>23.3874375</v>
      </c>
      <c r="AY64" s="106">
        <f t="shared" si="47"/>
        <v>63.52195078124999</v>
      </c>
      <c r="AZ64" s="107">
        <f t="shared" si="48"/>
        <v>83.10755078124998</v>
      </c>
      <c r="BA64" s="129">
        <f t="shared" si="49"/>
        <v>30.60696426282051</v>
      </c>
      <c r="BB64" s="92" t="str">
        <f t="shared" si="50"/>
        <v>OK</v>
      </c>
      <c r="BC64" s="104">
        <f t="shared" si="51"/>
        <v>216.8125</v>
      </c>
      <c r="BD64" s="106">
        <f t="shared" si="52"/>
        <v>18.067708333333332</v>
      </c>
      <c r="BE64" s="106">
        <f t="shared" si="53"/>
        <v>525</v>
      </c>
      <c r="BF64" s="106">
        <f t="shared" si="54"/>
        <v>43.75</v>
      </c>
      <c r="BG64" s="183">
        <v>103</v>
      </c>
      <c r="BH64" s="111">
        <f t="shared" si="55"/>
        <v>34.36383067908654</v>
      </c>
      <c r="BI64" s="464"/>
      <c r="BJ64" s="228">
        <v>0</v>
      </c>
      <c r="BK64" s="240">
        <f t="shared" si="56"/>
        <v>3.407993966817496</v>
      </c>
      <c r="BL64" s="110">
        <v>312</v>
      </c>
      <c r="BM64" s="164">
        <f t="shared" si="57"/>
        <v>0.5995425908369862</v>
      </c>
      <c r="BN64" s="111">
        <f t="shared" si="58"/>
        <v>0.20835087635734417</v>
      </c>
      <c r="BO64" s="113">
        <f t="shared" si="59"/>
        <v>0.65</v>
      </c>
      <c r="BP64" s="92" t="str">
        <f t="shared" si="60"/>
        <v>OK</v>
      </c>
      <c r="BQ64" s="92" t="str">
        <f t="shared" si="61"/>
        <v>OK</v>
      </c>
    </row>
    <row r="65" spans="2:69" ht="11.25">
      <c r="B65" s="254">
        <v>1</v>
      </c>
      <c r="C65" s="503">
        <f t="shared" si="28"/>
        <v>0.312</v>
      </c>
      <c r="D65" s="54"/>
      <c r="E65" s="458" t="s">
        <v>175</v>
      </c>
      <c r="F65" s="178" t="s">
        <v>206</v>
      </c>
      <c r="G65" s="179" t="s">
        <v>110</v>
      </c>
      <c r="H65" s="179">
        <v>16</v>
      </c>
      <c r="I65" s="390"/>
      <c r="J65" s="80">
        <v>4.71</v>
      </c>
      <c r="K65" s="80">
        <v>12</v>
      </c>
      <c r="L65" s="296">
        <v>0.22</v>
      </c>
      <c r="M65" s="410"/>
      <c r="N65" s="391"/>
      <c r="O65" s="392" t="str">
        <f t="shared" si="29"/>
        <v>NO</v>
      </c>
      <c r="P65" s="297">
        <v>50</v>
      </c>
      <c r="Q65" s="64">
        <v>1.5</v>
      </c>
      <c r="R65" s="297">
        <v>4</v>
      </c>
      <c r="S65" s="80">
        <v>4</v>
      </c>
      <c r="T65" s="297">
        <v>115</v>
      </c>
      <c r="U65" s="81">
        <v>78.75</v>
      </c>
      <c r="V65" s="80">
        <v>19.5</v>
      </c>
      <c r="W65" s="82">
        <f t="shared" si="30"/>
        <v>58.5</v>
      </c>
      <c r="X65" s="83">
        <f t="shared" si="31"/>
        <v>235.5</v>
      </c>
      <c r="Y65" s="84">
        <f t="shared" si="32"/>
        <v>1.1840120663650076</v>
      </c>
      <c r="Z65" s="211">
        <f t="shared" si="33"/>
        <v>166.16869343891403</v>
      </c>
      <c r="AA65" s="132">
        <f t="shared" si="34"/>
        <v>1</v>
      </c>
      <c r="AB65" s="86">
        <f t="shared" si="35"/>
        <v>79.2</v>
      </c>
      <c r="AC65" s="487">
        <v>17.2</v>
      </c>
      <c r="AD65" s="85">
        <f t="shared" si="36"/>
        <v>27.38372093023256</v>
      </c>
      <c r="AE65" s="297">
        <v>30</v>
      </c>
      <c r="AF65" s="297">
        <v>1.6</v>
      </c>
      <c r="AG65" s="410">
        <v>29</v>
      </c>
      <c r="AH65" s="410">
        <v>0</v>
      </c>
      <c r="AI65" s="454">
        <f t="shared" si="37"/>
        <v>413.6875</v>
      </c>
      <c r="AJ65" s="197">
        <v>13404</v>
      </c>
      <c r="AK65" s="410">
        <v>80</v>
      </c>
      <c r="AL65" s="82">
        <f t="shared" si="38"/>
        <v>1</v>
      </c>
      <c r="AM65" s="85">
        <f t="shared" si="39"/>
        <v>525</v>
      </c>
      <c r="AN65" s="185">
        <v>2188</v>
      </c>
      <c r="AO65" s="85">
        <f t="shared" si="40"/>
        <v>2188</v>
      </c>
      <c r="AP65" s="85">
        <f t="shared" si="41"/>
        <v>1336.425</v>
      </c>
      <c r="AQ65" s="85">
        <f t="shared" si="42"/>
        <v>19585.6</v>
      </c>
      <c r="AR65" s="85">
        <f t="shared" si="43"/>
        <v>579.1624999999999</v>
      </c>
      <c r="AS65" s="85">
        <f t="shared" si="43"/>
        <v>18765.6</v>
      </c>
      <c r="AT65" s="185">
        <v>2</v>
      </c>
      <c r="AU65" s="185">
        <v>17.5</v>
      </c>
      <c r="AV65" s="85">
        <f t="shared" si="44"/>
        <v>35.15364102564102</v>
      </c>
      <c r="AW65" s="85">
        <f t="shared" si="45"/>
        <v>19.5856</v>
      </c>
      <c r="AX65" s="85">
        <f t="shared" si="46"/>
        <v>23.3874375</v>
      </c>
      <c r="AY65" s="85">
        <f t="shared" si="47"/>
        <v>63.52195078124999</v>
      </c>
      <c r="AZ65" s="82">
        <f t="shared" si="48"/>
        <v>83.10755078124998</v>
      </c>
      <c r="BA65" s="86">
        <f t="shared" si="49"/>
        <v>30.60696426282051</v>
      </c>
      <c r="BB65" s="89" t="str">
        <f t="shared" si="50"/>
        <v>OK</v>
      </c>
      <c r="BC65" s="114">
        <f t="shared" si="51"/>
        <v>216.8125</v>
      </c>
      <c r="BD65" s="85">
        <f t="shared" si="52"/>
        <v>18.067708333333332</v>
      </c>
      <c r="BE65" s="85">
        <f t="shared" si="53"/>
        <v>525</v>
      </c>
      <c r="BF65" s="85">
        <f t="shared" si="54"/>
        <v>43.75</v>
      </c>
      <c r="BG65" s="410">
        <v>103</v>
      </c>
      <c r="BH65" s="88">
        <f t="shared" si="55"/>
        <v>34.36383067908654</v>
      </c>
      <c r="BI65" s="427"/>
      <c r="BJ65" s="300">
        <v>0</v>
      </c>
      <c r="BK65" s="301">
        <f t="shared" si="56"/>
        <v>3.407993966817496</v>
      </c>
      <c r="BL65" s="429">
        <v>312</v>
      </c>
      <c r="BM65" s="132">
        <f t="shared" si="57"/>
        <v>0.5995425908369862</v>
      </c>
      <c r="BN65" s="88">
        <f t="shared" si="58"/>
        <v>0.20835087635734417</v>
      </c>
      <c r="BO65" s="211">
        <f t="shared" si="59"/>
        <v>0.65</v>
      </c>
      <c r="BP65" s="89" t="str">
        <f t="shared" si="60"/>
        <v>OK</v>
      </c>
      <c r="BQ65" s="89" t="str">
        <f t="shared" si="61"/>
        <v>OK</v>
      </c>
    </row>
    <row r="66" spans="2:69" ht="12" thickBot="1">
      <c r="B66" s="381">
        <v>1</v>
      </c>
      <c r="C66" s="504">
        <f t="shared" si="28"/>
        <v>0.312</v>
      </c>
      <c r="D66" s="54"/>
      <c r="E66" s="115" t="s">
        <v>177</v>
      </c>
      <c r="F66" s="62" t="s">
        <v>207</v>
      </c>
      <c r="G66" s="115" t="s">
        <v>110</v>
      </c>
      <c r="H66" s="218">
        <v>16</v>
      </c>
      <c r="I66" s="273"/>
      <c r="J66" s="100">
        <v>4.71</v>
      </c>
      <c r="K66" s="100">
        <v>12</v>
      </c>
      <c r="L66" s="116">
        <v>0.22</v>
      </c>
      <c r="M66" s="183"/>
      <c r="N66" s="156"/>
      <c r="O66" s="373" t="str">
        <f t="shared" si="29"/>
        <v>NO</v>
      </c>
      <c r="P66" s="286">
        <v>50</v>
      </c>
      <c r="Q66" s="36">
        <v>1.5</v>
      </c>
      <c r="R66" s="286">
        <v>4</v>
      </c>
      <c r="S66" s="306">
        <v>4</v>
      </c>
      <c r="T66" s="286">
        <v>115</v>
      </c>
      <c r="U66" s="35">
        <v>78.75</v>
      </c>
      <c r="V66" s="306">
        <v>19.5</v>
      </c>
      <c r="W66" s="148">
        <f t="shared" si="30"/>
        <v>58.5</v>
      </c>
      <c r="X66" s="149">
        <f t="shared" si="31"/>
        <v>235.5</v>
      </c>
      <c r="Y66" s="150">
        <f t="shared" si="32"/>
        <v>1.1840120663650076</v>
      </c>
      <c r="Z66" s="384">
        <f t="shared" si="33"/>
        <v>166.16869343891403</v>
      </c>
      <c r="AA66" s="375">
        <f t="shared" si="34"/>
        <v>1</v>
      </c>
      <c r="AB66" s="308">
        <f t="shared" si="35"/>
        <v>79.2</v>
      </c>
      <c r="AC66" s="36">
        <v>17.2</v>
      </c>
      <c r="AD66" s="106">
        <f t="shared" si="36"/>
        <v>27.38372093023256</v>
      </c>
      <c r="AE66" s="109">
        <v>30</v>
      </c>
      <c r="AF66" s="109">
        <v>1.6</v>
      </c>
      <c r="AG66" s="183">
        <v>29</v>
      </c>
      <c r="AH66" s="183">
        <v>0</v>
      </c>
      <c r="AI66" s="133">
        <f t="shared" si="37"/>
        <v>413.6875</v>
      </c>
      <c r="AJ66" s="267">
        <v>13404</v>
      </c>
      <c r="AK66" s="183">
        <v>80</v>
      </c>
      <c r="AL66" s="107">
        <f t="shared" si="38"/>
        <v>1</v>
      </c>
      <c r="AM66" s="106">
        <f t="shared" si="39"/>
        <v>525</v>
      </c>
      <c r="AN66" s="266">
        <v>2188</v>
      </c>
      <c r="AO66" s="376">
        <f t="shared" si="40"/>
        <v>2188</v>
      </c>
      <c r="AP66" s="106">
        <f t="shared" si="41"/>
        <v>1336.425</v>
      </c>
      <c r="AQ66" s="106">
        <f t="shared" si="42"/>
        <v>19585.6</v>
      </c>
      <c r="AR66" s="106">
        <f t="shared" si="43"/>
        <v>579.1624999999999</v>
      </c>
      <c r="AS66" s="106">
        <f t="shared" si="43"/>
        <v>18765.6</v>
      </c>
      <c r="AT66" s="266">
        <v>2</v>
      </c>
      <c r="AU66" s="266">
        <v>17.5</v>
      </c>
      <c r="AV66" s="376">
        <f t="shared" si="44"/>
        <v>35.15364102564102</v>
      </c>
      <c r="AW66" s="376">
        <f t="shared" si="45"/>
        <v>19.5856</v>
      </c>
      <c r="AX66" s="376">
        <f t="shared" si="46"/>
        <v>23.3874375</v>
      </c>
      <c r="AY66" s="376">
        <f t="shared" si="47"/>
        <v>63.52195078124999</v>
      </c>
      <c r="AZ66" s="148">
        <f t="shared" si="48"/>
        <v>83.10755078124998</v>
      </c>
      <c r="BA66" s="308">
        <f t="shared" si="49"/>
        <v>30.60696426282051</v>
      </c>
      <c r="BB66" s="385" t="str">
        <f t="shared" si="50"/>
        <v>OK</v>
      </c>
      <c r="BC66" s="378">
        <f t="shared" si="51"/>
        <v>216.8125</v>
      </c>
      <c r="BD66" s="106">
        <f t="shared" si="52"/>
        <v>18.067708333333332</v>
      </c>
      <c r="BE66" s="106">
        <f t="shared" si="53"/>
        <v>525</v>
      </c>
      <c r="BF66" s="106">
        <f t="shared" si="54"/>
        <v>43.75</v>
      </c>
      <c r="BG66" s="183">
        <v>103</v>
      </c>
      <c r="BH66" s="111">
        <f t="shared" si="55"/>
        <v>34.36383067908654</v>
      </c>
      <c r="BI66" s="151"/>
      <c r="BJ66" s="18">
        <v>0</v>
      </c>
      <c r="BK66" s="430">
        <f t="shared" si="56"/>
        <v>3.407993966817496</v>
      </c>
      <c r="BL66" s="110">
        <v>312</v>
      </c>
      <c r="BM66" s="375">
        <f t="shared" si="57"/>
        <v>0.5995425908369862</v>
      </c>
      <c r="BN66" s="380">
        <f t="shared" si="58"/>
        <v>0.20835087635734417</v>
      </c>
      <c r="BO66" s="384">
        <f t="shared" si="59"/>
        <v>0.65</v>
      </c>
      <c r="BP66" s="385" t="str">
        <f t="shared" si="60"/>
        <v>OK</v>
      </c>
      <c r="BQ66" s="385" t="str">
        <f t="shared" si="61"/>
        <v>OK</v>
      </c>
    </row>
    <row r="68" spans="1:12" ht="12" thickBot="1">
      <c r="A68" s="174"/>
      <c r="B68" s="13"/>
      <c r="C68" s="318"/>
      <c r="E68" s="276"/>
      <c r="F68" s="277" t="s">
        <v>120</v>
      </c>
      <c r="G68" s="278"/>
      <c r="H68" s="278"/>
      <c r="I68" s="279" t="s">
        <v>121</v>
      </c>
      <c r="J68" s="279"/>
      <c r="K68" s="280" t="s">
        <v>122</v>
      </c>
      <c r="L68" s="167"/>
    </row>
    <row r="69" spans="2:12" ht="12" thickTop="1">
      <c r="B69" s="13"/>
      <c r="C69" s="318"/>
      <c r="E69" s="241"/>
      <c r="H69" s="8" t="s">
        <v>21</v>
      </c>
      <c r="J69" s="281"/>
      <c r="K69" s="167"/>
      <c r="L69" s="167"/>
    </row>
    <row r="70" spans="2:12" ht="11.25">
      <c r="B70" s="13"/>
      <c r="C70" s="318"/>
      <c r="E70" s="276"/>
      <c r="F70" s="8"/>
      <c r="J70" s="13"/>
      <c r="K70" s="10"/>
      <c r="L70" s="13"/>
    </row>
    <row r="71" spans="2:58" ht="12" thickBot="1">
      <c r="B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</row>
    <row r="72" spans="1:58" s="174" customFormat="1" ht="12" thickBot="1">
      <c r="A72" s="8"/>
      <c r="B72" s="138"/>
      <c r="C72" s="502"/>
      <c r="D72" s="175"/>
      <c r="E72" s="412" t="s">
        <v>193</v>
      </c>
      <c r="F72" s="418" t="s">
        <v>212</v>
      </c>
      <c r="G72" s="176"/>
      <c r="H72" s="176"/>
      <c r="I72" s="176"/>
      <c r="J72" s="176"/>
      <c r="K72" s="386"/>
      <c r="L72" s="176"/>
      <c r="M72" s="386"/>
      <c r="N72" s="387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413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Q72" s="415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415"/>
    </row>
    <row r="73" spans="2:58" ht="11.25">
      <c r="B73" s="446" t="s">
        <v>244</v>
      </c>
      <c r="C73" s="497" t="s">
        <v>56</v>
      </c>
      <c r="D73" s="54"/>
      <c r="E73" s="76" t="s">
        <v>213</v>
      </c>
      <c r="F73" s="56" t="s">
        <v>214</v>
      </c>
      <c r="G73" s="6" t="s">
        <v>58</v>
      </c>
      <c r="H73" s="6"/>
      <c r="I73" s="188"/>
      <c r="J73" s="6"/>
      <c r="K73" s="6"/>
      <c r="L73" s="6"/>
      <c r="M73" s="220"/>
      <c r="N73" s="243"/>
      <c r="O73" s="6"/>
      <c r="P73" s="3"/>
      <c r="Q73" s="38" t="s">
        <v>34</v>
      </c>
      <c r="R73" s="70"/>
      <c r="S73" s="26" t="s">
        <v>61</v>
      </c>
      <c r="T73" s="50"/>
      <c r="U73" s="5" t="s">
        <v>25</v>
      </c>
      <c r="V73" s="4"/>
      <c r="W73" s="4"/>
      <c r="X73" s="14" t="s">
        <v>49</v>
      </c>
      <c r="Y73" s="7"/>
      <c r="Z73" s="37"/>
      <c r="AA73" s="163" t="s">
        <v>96</v>
      </c>
      <c r="AB73" s="159"/>
      <c r="AC73" s="38" t="s">
        <v>17</v>
      </c>
      <c r="AD73" s="4"/>
      <c r="AE73" s="15" t="s">
        <v>7</v>
      </c>
      <c r="AF73" s="15" t="s">
        <v>7</v>
      </c>
      <c r="AG73" s="259" t="s">
        <v>7</v>
      </c>
      <c r="AH73" s="14" t="s">
        <v>7</v>
      </c>
      <c r="AI73" s="15" t="s">
        <v>7</v>
      </c>
      <c r="AJ73" s="45" t="s">
        <v>8</v>
      </c>
      <c r="AK73" s="98" t="s">
        <v>8</v>
      </c>
      <c r="AL73" s="43" t="s">
        <v>8</v>
      </c>
      <c r="AM73" s="43" t="s">
        <v>97</v>
      </c>
      <c r="AN73" s="12" t="s">
        <v>98</v>
      </c>
      <c r="AO73" s="3"/>
      <c r="AP73" s="7"/>
      <c r="AQ73" s="39" t="s">
        <v>50</v>
      </c>
      <c r="AR73" s="42" t="s">
        <v>7</v>
      </c>
      <c r="AS73" s="14" t="s">
        <v>7</v>
      </c>
      <c r="AT73" s="15" t="s">
        <v>8</v>
      </c>
      <c r="AU73" s="15" t="s">
        <v>8</v>
      </c>
      <c r="AV73" s="42" t="s">
        <v>34</v>
      </c>
      <c r="AW73" s="41" t="s">
        <v>14</v>
      </c>
      <c r="AX73" s="41" t="s">
        <v>51</v>
      </c>
      <c r="AY73" s="15" t="s">
        <v>9</v>
      </c>
      <c r="AZ73" s="15" t="s">
        <v>10</v>
      </c>
      <c r="BA73" s="17" t="s">
        <v>29</v>
      </c>
      <c r="BB73" s="42" t="s">
        <v>41</v>
      </c>
      <c r="BC73" s="41" t="s">
        <v>42</v>
      </c>
      <c r="BD73" s="57" t="s">
        <v>99</v>
      </c>
      <c r="BE73" s="55" t="s">
        <v>7</v>
      </c>
      <c r="BF73" s="56" t="s">
        <v>8</v>
      </c>
    </row>
    <row r="74" spans="2:58" ht="11.25">
      <c r="B74" s="93"/>
      <c r="C74" s="498"/>
      <c r="D74" s="54"/>
      <c r="E74" s="76"/>
      <c r="F74" s="44"/>
      <c r="G74" s="64"/>
      <c r="H74" s="64"/>
      <c r="I74" s="65"/>
      <c r="J74" s="64"/>
      <c r="K74" s="64"/>
      <c r="L74" s="64"/>
      <c r="M74" s="247"/>
      <c r="N74" s="244"/>
      <c r="O74" s="64"/>
      <c r="P74" s="69"/>
      <c r="Q74" s="14" t="s">
        <v>1</v>
      </c>
      <c r="R74" s="71"/>
      <c r="S74" s="72" t="s">
        <v>62</v>
      </c>
      <c r="T74" s="72" t="s">
        <v>63</v>
      </c>
      <c r="U74" s="12" t="s">
        <v>26</v>
      </c>
      <c r="V74" s="11"/>
      <c r="W74" s="11"/>
      <c r="Y74" s="16"/>
      <c r="Z74" s="41" t="s">
        <v>51</v>
      </c>
      <c r="AA74" s="160" t="s">
        <v>74</v>
      </c>
      <c r="AB74" s="41" t="s">
        <v>52</v>
      </c>
      <c r="AC74" s="14" t="s">
        <v>18</v>
      </c>
      <c r="AD74" s="15" t="s">
        <v>30</v>
      </c>
      <c r="AE74" s="15" t="s">
        <v>70</v>
      </c>
      <c r="AF74" s="15" t="s">
        <v>34</v>
      </c>
      <c r="AG74" s="15" t="s">
        <v>61</v>
      </c>
      <c r="AH74" s="98" t="s">
        <v>87</v>
      </c>
      <c r="AI74" s="15" t="s">
        <v>62</v>
      </c>
      <c r="AJ74" s="10"/>
      <c r="AK74" s="98" t="s">
        <v>67</v>
      </c>
      <c r="AL74" s="43" t="s">
        <v>81</v>
      </c>
      <c r="AM74" s="43" t="s">
        <v>15</v>
      </c>
      <c r="AN74" s="12"/>
      <c r="AO74" s="42" t="s">
        <v>14</v>
      </c>
      <c r="AP74" s="17" t="s">
        <v>36</v>
      </c>
      <c r="AQ74" s="44" t="s">
        <v>37</v>
      </c>
      <c r="AR74" s="42" t="s">
        <v>85</v>
      </c>
      <c r="AS74" s="13"/>
      <c r="AT74" s="11"/>
      <c r="AU74" s="11"/>
      <c r="AV74" s="42" t="s">
        <v>33</v>
      </c>
      <c r="AW74" s="17" t="s">
        <v>85</v>
      </c>
      <c r="AX74" s="40" t="s">
        <v>34</v>
      </c>
      <c r="AY74" s="10"/>
      <c r="AZ74" s="13"/>
      <c r="BA74" s="17" t="s">
        <v>46</v>
      </c>
      <c r="BB74" s="42" t="s">
        <v>13</v>
      </c>
      <c r="BC74" s="41"/>
      <c r="BD74" s="54"/>
      <c r="BE74" s="58" t="s">
        <v>39</v>
      </c>
      <c r="BF74" s="44" t="s">
        <v>39</v>
      </c>
    </row>
    <row r="75" spans="2:58" ht="11.25">
      <c r="B75" s="93"/>
      <c r="C75" s="498"/>
      <c r="D75" s="54"/>
      <c r="E75" s="76"/>
      <c r="F75" s="44"/>
      <c r="G75" s="73" t="s">
        <v>59</v>
      </c>
      <c r="H75" s="10" t="s">
        <v>56</v>
      </c>
      <c r="I75" s="269" t="s">
        <v>88</v>
      </c>
      <c r="J75" s="15" t="s">
        <v>47</v>
      </c>
      <c r="K75" s="15" t="s">
        <v>0</v>
      </c>
      <c r="L75" s="15" t="s">
        <v>2</v>
      </c>
      <c r="M75" s="43" t="s">
        <v>90</v>
      </c>
      <c r="N75" s="245" t="s">
        <v>91</v>
      </c>
      <c r="O75" s="15" t="s">
        <v>95</v>
      </c>
      <c r="P75" s="15" t="s">
        <v>3</v>
      </c>
      <c r="Q75" s="14" t="s">
        <v>19</v>
      </c>
      <c r="R75" s="15" t="s">
        <v>4</v>
      </c>
      <c r="S75" s="15" t="s">
        <v>19</v>
      </c>
      <c r="T75" s="15" t="s">
        <v>56</v>
      </c>
      <c r="U75" s="12" t="s">
        <v>16</v>
      </c>
      <c r="V75" s="15" t="s">
        <v>21</v>
      </c>
      <c r="W75" s="15" t="s">
        <v>48</v>
      </c>
      <c r="X75" s="14" t="s">
        <v>6</v>
      </c>
      <c r="Y75" s="17" t="s">
        <v>5</v>
      </c>
      <c r="Z75" s="41" t="s">
        <v>53</v>
      </c>
      <c r="AA75" s="161"/>
      <c r="AB75" s="41"/>
      <c r="AC75" s="14" t="s">
        <v>32</v>
      </c>
      <c r="AD75" s="15" t="s">
        <v>31</v>
      </c>
      <c r="AE75" s="15" t="s">
        <v>71</v>
      </c>
      <c r="AF75" s="15" t="s">
        <v>72</v>
      </c>
      <c r="AG75" s="15"/>
      <c r="AH75" s="98" t="s">
        <v>86</v>
      </c>
      <c r="AI75" s="15"/>
      <c r="AJ75" s="11"/>
      <c r="AK75" s="98" t="s">
        <v>27</v>
      </c>
      <c r="AL75" s="43" t="s">
        <v>82</v>
      </c>
      <c r="AM75" s="15" t="s">
        <v>83</v>
      </c>
      <c r="AN75" s="42" t="s">
        <v>83</v>
      </c>
      <c r="AO75" s="42"/>
      <c r="AP75" s="17"/>
      <c r="AQ75" s="41" t="s">
        <v>54</v>
      </c>
      <c r="AR75" s="134"/>
      <c r="AS75" s="11"/>
      <c r="AT75" s="11"/>
      <c r="AU75" s="11"/>
      <c r="AV75" s="11"/>
      <c r="AW75" s="16"/>
      <c r="AX75" s="40" t="s">
        <v>84</v>
      </c>
      <c r="AY75" s="10"/>
      <c r="AZ75" s="11"/>
      <c r="BA75" s="54"/>
      <c r="BB75" s="10"/>
      <c r="BC75" s="16"/>
      <c r="BD75" s="93"/>
      <c r="BE75" s="93"/>
      <c r="BF75" s="93"/>
    </row>
    <row r="76" spans="2:58" ht="12" thickBot="1">
      <c r="B76" s="381"/>
      <c r="C76" s="499" t="s">
        <v>246</v>
      </c>
      <c r="D76" s="54"/>
      <c r="E76" s="77"/>
      <c r="F76" s="62"/>
      <c r="G76" s="18" t="s">
        <v>60</v>
      </c>
      <c r="H76" s="18" t="s">
        <v>11</v>
      </c>
      <c r="I76" s="270"/>
      <c r="J76" s="1" t="s">
        <v>43</v>
      </c>
      <c r="K76" s="1" t="s">
        <v>40</v>
      </c>
      <c r="L76" s="1" t="s">
        <v>40</v>
      </c>
      <c r="M76" s="48"/>
      <c r="N76" s="246"/>
      <c r="O76" s="1"/>
      <c r="P76" s="1" t="s">
        <v>44</v>
      </c>
      <c r="Q76" s="20" t="s">
        <v>40</v>
      </c>
      <c r="R76" s="1" t="s">
        <v>44</v>
      </c>
      <c r="S76" s="1" t="s">
        <v>40</v>
      </c>
      <c r="T76" s="1" t="s">
        <v>57</v>
      </c>
      <c r="U76" s="19" t="s">
        <v>40</v>
      </c>
      <c r="V76" s="1" t="s">
        <v>12</v>
      </c>
      <c r="W76" s="1" t="s">
        <v>40</v>
      </c>
      <c r="X76" s="20" t="s">
        <v>35</v>
      </c>
      <c r="Y76" s="21" t="s">
        <v>40</v>
      </c>
      <c r="Z76" s="41" t="s">
        <v>45</v>
      </c>
      <c r="AA76" s="161"/>
      <c r="AB76" s="17" t="s">
        <v>35</v>
      </c>
      <c r="AC76" s="14" t="s">
        <v>24</v>
      </c>
      <c r="AD76" s="15" t="s">
        <v>22</v>
      </c>
      <c r="AE76" s="15" t="s">
        <v>28</v>
      </c>
      <c r="AF76" s="15" t="s">
        <v>28</v>
      </c>
      <c r="AG76" s="42" t="s">
        <v>28</v>
      </c>
      <c r="AH76" s="42" t="s">
        <v>11</v>
      </c>
      <c r="AI76" s="15" t="s">
        <v>11</v>
      </c>
      <c r="AJ76" s="45" t="s">
        <v>28</v>
      </c>
      <c r="AK76" s="11"/>
      <c r="AL76" s="43" t="s">
        <v>11</v>
      </c>
      <c r="AM76" s="215" t="s">
        <v>11</v>
      </c>
      <c r="AN76" s="234" t="s">
        <v>11</v>
      </c>
      <c r="AO76" s="42" t="s">
        <v>45</v>
      </c>
      <c r="AP76" s="17" t="s">
        <v>35</v>
      </c>
      <c r="AQ76" s="57" t="s">
        <v>23</v>
      </c>
      <c r="AR76" s="135" t="s">
        <v>11</v>
      </c>
      <c r="AS76" s="59" t="s">
        <v>20</v>
      </c>
      <c r="AT76" s="60" t="s">
        <v>11</v>
      </c>
      <c r="AU76" s="60" t="s">
        <v>20</v>
      </c>
      <c r="AV76" s="47" t="s">
        <v>38</v>
      </c>
      <c r="AW76" s="46" t="s">
        <v>45</v>
      </c>
      <c r="AX76" s="46" t="s">
        <v>45</v>
      </c>
      <c r="AY76" s="1" t="s">
        <v>40</v>
      </c>
      <c r="AZ76" s="1" t="s">
        <v>40</v>
      </c>
      <c r="BA76" s="49" t="s">
        <v>38</v>
      </c>
      <c r="BB76" s="2" t="s">
        <v>40</v>
      </c>
      <c r="BC76" s="46" t="s">
        <v>40</v>
      </c>
      <c r="BD76" s="136" t="s">
        <v>40</v>
      </c>
      <c r="BE76" s="61" t="s">
        <v>23</v>
      </c>
      <c r="BF76" s="61" t="s">
        <v>23</v>
      </c>
    </row>
    <row r="77" spans="1:58" ht="11.25">
      <c r="A77" s="174"/>
      <c r="B77" s="118">
        <v>14</v>
      </c>
      <c r="C77" s="503">
        <f>B77*V77*$H77/1000</f>
        <v>2.94</v>
      </c>
      <c r="D77" s="54"/>
      <c r="E77" s="123" t="s">
        <v>255</v>
      </c>
      <c r="F77" s="78" t="s">
        <v>257</v>
      </c>
      <c r="G77" s="179" t="s">
        <v>73</v>
      </c>
      <c r="H77" s="139">
        <v>12</v>
      </c>
      <c r="I77" s="271"/>
      <c r="J77" s="22">
        <v>3.54</v>
      </c>
      <c r="K77" s="22">
        <v>9.87</v>
      </c>
      <c r="L77" s="25">
        <v>0.19</v>
      </c>
      <c r="M77" s="248"/>
      <c r="N77" s="154"/>
      <c r="O77" s="208" t="str">
        <f aca="true" t="shared" si="62" ref="O77:O84">IF(M77&lt;1.1*((N77*29000)/P77)^0.5,1,"NO")</f>
        <v>NO</v>
      </c>
      <c r="P77" s="4">
        <v>50</v>
      </c>
      <c r="Q77" s="6">
        <v>1.5</v>
      </c>
      <c r="R77" s="4">
        <v>4</v>
      </c>
      <c r="S77" s="140">
        <v>4</v>
      </c>
      <c r="T77" s="4">
        <v>115</v>
      </c>
      <c r="U77" s="24">
        <v>75</v>
      </c>
      <c r="V77" s="22">
        <v>17.5</v>
      </c>
      <c r="W77" s="23">
        <f aca="true" t="shared" si="63" ref="W77:W84">MIN((V77/4)*12,U77)</f>
        <v>52.5</v>
      </c>
      <c r="X77" s="27">
        <f aca="true" t="shared" si="64" ref="X77:X84">J77*P77</f>
        <v>177</v>
      </c>
      <c r="Y77" s="28">
        <f aca="true" t="shared" si="65" ref="Y77:Y84">(J77*P77)/(0.85*R77*W77)</f>
        <v>0.9915966386554622</v>
      </c>
      <c r="Z77" s="102">
        <f aca="true" t="shared" si="66" ref="Z77:Z84">(0.9*((J77*P77*(K77/2))+(0.85*R77*Y77*W77*(S77-(Y77/2)))))/12</f>
        <v>112.03040231092437</v>
      </c>
      <c r="AA77" s="162">
        <f aca="true" t="shared" si="67" ref="AA77:AA84">IF(I77="v",0.9,1)</f>
        <v>1</v>
      </c>
      <c r="AB77" s="209">
        <f aca="true" t="shared" si="68" ref="AB77:AB84">IF(O77="NO",AA77*0.6*P77*K77*L77,AA77*0.6*P77*K77*L77*O77)</f>
        <v>56.25899999999999</v>
      </c>
      <c r="AC77" s="6">
        <v>17.2</v>
      </c>
      <c r="AD77" s="143">
        <f aca="true" t="shared" si="69" ref="AD77:AD84">(X77/AC77)*2</f>
        <v>20.58139534883721</v>
      </c>
      <c r="AE77" s="4">
        <v>30</v>
      </c>
      <c r="AF77" s="4">
        <v>1.6</v>
      </c>
      <c r="AG77" s="141">
        <v>29</v>
      </c>
      <c r="AH77" s="141">
        <v>0</v>
      </c>
      <c r="AI77" s="144">
        <f aca="true" t="shared" si="70" ref="AI77:AI84">((AE77+AG77+AF77)*(U77/12))+H77+AH77</f>
        <v>390.75</v>
      </c>
      <c r="AJ77" s="24">
        <v>80</v>
      </c>
      <c r="AK77" s="142">
        <f aca="true" t="shared" si="71" ref="AK77:AK84">IF(0.25+(15/($F$8*V77*(U77/12))^0.5)&gt;0.5,IF(0.25+(15/($F$8*V77*(U77/12))^0.5)&gt;1,1,0.25+(15/($F$8*V77*(U77/12))^0.5)),0.5)</f>
        <v>1</v>
      </c>
      <c r="AL77" s="143">
        <f aca="true" t="shared" si="72" ref="AL77:AL84">(AJ77*AK77)*(U77/12)</f>
        <v>500</v>
      </c>
      <c r="AM77" s="143">
        <f aca="true" t="shared" si="73" ref="AM77:AM84">(1.2*AI77)+(1.6*AL77)</f>
        <v>1268.9</v>
      </c>
      <c r="AN77" s="143">
        <f aca="true" t="shared" si="74" ref="AN77:AN84">1.4*AI77</f>
        <v>547.05</v>
      </c>
      <c r="AO77" s="142">
        <f aca="true" t="shared" si="75" ref="AO77:AO84">MAX((AN77*V77*V77)/8000,(AM77*V77*V77)/8000)</f>
        <v>48.575078125</v>
      </c>
      <c r="AP77" s="51">
        <f aca="true" t="shared" si="76" ref="AP77:AP84">MAX(AN77*V77/2000,AM77*V77/2000)</f>
        <v>11.102875</v>
      </c>
      <c r="AQ77" s="90" t="str">
        <f aca="true" t="shared" si="77" ref="AQ77:AQ84">IF(AND(Z77&gt;AO77,AB77&gt;AP77),"OK","NG")</f>
        <v>OK</v>
      </c>
      <c r="AR77" s="103">
        <f aca="true" t="shared" si="78" ref="AR77:AR84">((AF77+AG77)*(U77/12))+H77</f>
        <v>203.25</v>
      </c>
      <c r="AS77" s="145">
        <f aca="true" t="shared" si="79" ref="AS77:AS84">AR77/12</f>
        <v>16.9375</v>
      </c>
      <c r="AT77" s="143">
        <f aca="true" t="shared" si="80" ref="AT77:AT84">AJ77*(U77/12)</f>
        <v>500</v>
      </c>
      <c r="AU77" s="143">
        <f aca="true" t="shared" si="81" ref="AU77:AU84">AT77/12</f>
        <v>41.666666666666664</v>
      </c>
      <c r="AV77" s="31">
        <v>53.8</v>
      </c>
      <c r="AW77" s="68">
        <f aca="true" t="shared" si="82" ref="AW77:AW84">(AR77*V77*V77)/8000</f>
        <v>7.7806640625</v>
      </c>
      <c r="AX77" s="118">
        <v>46.9</v>
      </c>
      <c r="AY77" s="126">
        <v>0</v>
      </c>
      <c r="AZ77" s="237">
        <f aca="true" t="shared" si="83" ref="AZ77:AZ84">S77-Y77/2</f>
        <v>3.504201680672269</v>
      </c>
      <c r="BA77" s="67">
        <v>180</v>
      </c>
      <c r="BB77" s="162">
        <f aca="true" t="shared" si="84" ref="BB77:BB84">(5*(AS77)*((V77*12)^4))/(384*29000000*AV77)</f>
        <v>0.2749064904789851</v>
      </c>
      <c r="BC77" s="68">
        <f aca="true" t="shared" si="85" ref="BC77:BC84">(5*(AU77)*((V77*12)^4))/(384*29000000*BA77)</f>
        <v>0.2021316002155172</v>
      </c>
      <c r="BD77" s="102">
        <f aca="true" t="shared" si="86" ref="BD77:BD84">(V77/360)*12</f>
        <v>0.5833333333333334</v>
      </c>
      <c r="BE77" s="90" t="str">
        <f aca="true" t="shared" si="87" ref="BE77:BE84">IF(BB77&gt;BD77,"NG","OK")</f>
        <v>OK</v>
      </c>
      <c r="BF77" s="90" t="str">
        <f aca="true" t="shared" si="88" ref="BF77:BF84">IF(BC77&gt;BD77,"NG","OK")</f>
        <v>OK</v>
      </c>
    </row>
    <row r="78" spans="2:58" ht="12" thickBot="1">
      <c r="B78" s="165">
        <v>12</v>
      </c>
      <c r="C78" s="505">
        <f>B78*V78*$H78/1000</f>
        <v>2.808</v>
      </c>
      <c r="D78" s="54"/>
      <c r="E78" s="152" t="s">
        <v>256</v>
      </c>
      <c r="F78" s="178" t="s">
        <v>258</v>
      </c>
      <c r="G78" s="115" t="s">
        <v>73</v>
      </c>
      <c r="H78" s="218">
        <v>12</v>
      </c>
      <c r="I78" s="273"/>
      <c r="J78" s="100">
        <v>3.54</v>
      </c>
      <c r="K78" s="100">
        <v>9.87</v>
      </c>
      <c r="L78" s="116">
        <v>0.19</v>
      </c>
      <c r="M78" s="183"/>
      <c r="N78" s="156"/>
      <c r="O78" s="158" t="str">
        <f t="shared" si="62"/>
        <v>NO</v>
      </c>
      <c r="P78" s="109">
        <v>50</v>
      </c>
      <c r="Q78" s="95">
        <v>1.5</v>
      </c>
      <c r="R78" s="109">
        <v>4</v>
      </c>
      <c r="S78" s="100">
        <v>4</v>
      </c>
      <c r="T78" s="109">
        <v>115</v>
      </c>
      <c r="U78" s="108">
        <v>82.5</v>
      </c>
      <c r="V78" s="100">
        <v>19.5</v>
      </c>
      <c r="W78" s="30">
        <f t="shared" si="63"/>
        <v>58.5</v>
      </c>
      <c r="X78" s="146">
        <f t="shared" si="64"/>
        <v>177</v>
      </c>
      <c r="Y78" s="147">
        <f t="shared" si="65"/>
        <v>0.889894419306184</v>
      </c>
      <c r="Z78" s="211">
        <f t="shared" si="66"/>
        <v>112.70545079185518</v>
      </c>
      <c r="AA78" s="132">
        <f t="shared" si="67"/>
        <v>1</v>
      </c>
      <c r="AB78" s="128">
        <f t="shared" si="68"/>
        <v>56.25899999999999</v>
      </c>
      <c r="AC78" s="227">
        <v>17.2</v>
      </c>
      <c r="AD78" s="52">
        <f t="shared" si="69"/>
        <v>20.58139534883721</v>
      </c>
      <c r="AE78" s="34">
        <v>30</v>
      </c>
      <c r="AF78" s="34">
        <v>1.6</v>
      </c>
      <c r="AG78" s="226">
        <v>29</v>
      </c>
      <c r="AH78" s="226">
        <v>0</v>
      </c>
      <c r="AI78" s="112">
        <f t="shared" si="70"/>
        <v>428.625</v>
      </c>
      <c r="AJ78" s="31">
        <v>80</v>
      </c>
      <c r="AK78" s="30">
        <f t="shared" si="71"/>
        <v>1</v>
      </c>
      <c r="AL78" s="52">
        <f t="shared" si="72"/>
        <v>550</v>
      </c>
      <c r="AM78" s="52">
        <f t="shared" si="73"/>
        <v>1394.35</v>
      </c>
      <c r="AN78" s="52">
        <f t="shared" si="74"/>
        <v>600.0749999999999</v>
      </c>
      <c r="AO78" s="30">
        <f t="shared" si="75"/>
        <v>66.2751984375</v>
      </c>
      <c r="AP78" s="128">
        <f t="shared" si="76"/>
        <v>13.594912499999998</v>
      </c>
      <c r="AQ78" s="91" t="str">
        <f t="shared" si="77"/>
        <v>OK</v>
      </c>
      <c r="AR78" s="114">
        <f t="shared" si="78"/>
        <v>222.375</v>
      </c>
      <c r="AS78" s="52">
        <f t="shared" si="79"/>
        <v>18.53125</v>
      </c>
      <c r="AT78" s="52">
        <f t="shared" si="80"/>
        <v>550</v>
      </c>
      <c r="AU78" s="52">
        <f t="shared" si="81"/>
        <v>45.833333333333336</v>
      </c>
      <c r="AV78" s="81">
        <v>53.8</v>
      </c>
      <c r="AW78" s="63">
        <f t="shared" si="82"/>
        <v>10.56976171875</v>
      </c>
      <c r="AX78" s="119">
        <v>46.9</v>
      </c>
      <c r="AY78" s="125">
        <v>0</v>
      </c>
      <c r="AZ78" s="238">
        <f t="shared" si="83"/>
        <v>3.555052790346908</v>
      </c>
      <c r="BA78" s="67">
        <v>180</v>
      </c>
      <c r="BB78" s="131">
        <f t="shared" si="84"/>
        <v>0.4636888481219355</v>
      </c>
      <c r="BC78" s="63">
        <f t="shared" si="85"/>
        <v>0.34277816540948275</v>
      </c>
      <c r="BD78" s="211">
        <f t="shared" si="86"/>
        <v>0.65</v>
      </c>
      <c r="BE78" s="89" t="str">
        <f t="shared" si="87"/>
        <v>OK</v>
      </c>
      <c r="BF78" s="89" t="str">
        <f t="shared" si="88"/>
        <v>OK</v>
      </c>
    </row>
    <row r="79" spans="2:58" ht="11.25">
      <c r="B79" s="254">
        <v>30</v>
      </c>
      <c r="C79" s="509">
        <f>B79*V79*$H79/1000</f>
        <v>13.2</v>
      </c>
      <c r="D79" s="54"/>
      <c r="E79" s="436" t="s">
        <v>218</v>
      </c>
      <c r="F79" s="56">
        <v>2</v>
      </c>
      <c r="G79" s="179" t="s">
        <v>219</v>
      </c>
      <c r="H79" s="179">
        <v>16</v>
      </c>
      <c r="I79" s="390"/>
      <c r="J79" s="80">
        <v>4.71</v>
      </c>
      <c r="K79" s="80">
        <v>12</v>
      </c>
      <c r="L79" s="296">
        <v>0.22</v>
      </c>
      <c r="M79" s="410"/>
      <c r="N79" s="391"/>
      <c r="O79" s="216" t="str">
        <f t="shared" si="62"/>
        <v>NO</v>
      </c>
      <c r="P79" s="11">
        <v>50</v>
      </c>
      <c r="Q79" s="13">
        <v>1.5</v>
      </c>
      <c r="R79" s="11">
        <v>4</v>
      </c>
      <c r="S79" s="74">
        <v>4</v>
      </c>
      <c r="T79" s="11">
        <v>115</v>
      </c>
      <c r="U79" s="81">
        <v>75</v>
      </c>
      <c r="V79" s="80">
        <v>27.5</v>
      </c>
      <c r="W79" s="23">
        <f t="shared" si="63"/>
        <v>75</v>
      </c>
      <c r="X79" s="27">
        <f t="shared" si="64"/>
        <v>235.5</v>
      </c>
      <c r="Y79" s="28">
        <f t="shared" si="65"/>
        <v>0.9235294117647059</v>
      </c>
      <c r="Z79" s="102">
        <f t="shared" si="66"/>
        <v>168.46908088235293</v>
      </c>
      <c r="AA79" s="162">
        <f t="shared" si="67"/>
        <v>1</v>
      </c>
      <c r="AB79" s="209">
        <f t="shared" si="68"/>
        <v>79.2</v>
      </c>
      <c r="AC79" s="6">
        <v>17.2</v>
      </c>
      <c r="AD79" s="143">
        <f t="shared" si="69"/>
        <v>27.38372093023256</v>
      </c>
      <c r="AE79" s="4">
        <v>30</v>
      </c>
      <c r="AF79" s="4">
        <v>1.6</v>
      </c>
      <c r="AG79" s="141">
        <v>29</v>
      </c>
      <c r="AH79" s="141">
        <v>0</v>
      </c>
      <c r="AI79" s="144">
        <f t="shared" si="70"/>
        <v>394.75</v>
      </c>
      <c r="AJ79" s="24">
        <v>80</v>
      </c>
      <c r="AK79" s="142">
        <f t="shared" si="71"/>
        <v>1</v>
      </c>
      <c r="AL79" s="143">
        <f t="shared" si="72"/>
        <v>500</v>
      </c>
      <c r="AM79" s="143">
        <f t="shared" si="73"/>
        <v>1273.7</v>
      </c>
      <c r="AN79" s="143">
        <f t="shared" si="74"/>
        <v>552.65</v>
      </c>
      <c r="AO79" s="142">
        <f t="shared" si="75"/>
        <v>120.404453125</v>
      </c>
      <c r="AP79" s="51">
        <f t="shared" si="76"/>
        <v>17.513375</v>
      </c>
      <c r="AQ79" s="90" t="str">
        <f t="shared" si="77"/>
        <v>OK</v>
      </c>
      <c r="AR79" s="103">
        <f t="shared" si="78"/>
        <v>207.25</v>
      </c>
      <c r="AS79" s="235">
        <f t="shared" si="79"/>
        <v>17.270833333333332</v>
      </c>
      <c r="AT79" s="143">
        <f t="shared" si="80"/>
        <v>500</v>
      </c>
      <c r="AU79" s="143">
        <f t="shared" si="81"/>
        <v>41.666666666666664</v>
      </c>
      <c r="AV79" s="24">
        <v>103</v>
      </c>
      <c r="AW79" s="68">
        <f t="shared" si="82"/>
        <v>19.5916015625</v>
      </c>
      <c r="AX79" s="118">
        <v>75.4</v>
      </c>
      <c r="AY79" s="50">
        <v>0</v>
      </c>
      <c r="AZ79" s="237">
        <f t="shared" si="83"/>
        <v>3.538235294117647</v>
      </c>
      <c r="BA79" s="66">
        <v>317</v>
      </c>
      <c r="BB79" s="162">
        <f t="shared" si="84"/>
        <v>0.8928378850670613</v>
      </c>
      <c r="BC79" s="68">
        <f t="shared" si="85"/>
        <v>0.6998839555232242</v>
      </c>
      <c r="BD79" s="102">
        <f t="shared" si="86"/>
        <v>0.9166666666666667</v>
      </c>
      <c r="BE79" s="90" t="str">
        <f t="shared" si="87"/>
        <v>OK</v>
      </c>
      <c r="BF79" s="90" t="str">
        <f t="shared" si="88"/>
        <v>OK</v>
      </c>
    </row>
    <row r="80" spans="1:58" ht="11.25">
      <c r="A80" s="174"/>
      <c r="B80" s="254"/>
      <c r="C80" s="505"/>
      <c r="D80" s="54"/>
      <c r="E80" s="152"/>
      <c r="F80" s="79" t="s">
        <v>215</v>
      </c>
      <c r="G80" s="223" t="s">
        <v>219</v>
      </c>
      <c r="H80" s="223">
        <v>16</v>
      </c>
      <c r="I80" s="272"/>
      <c r="J80" s="207">
        <v>4.71</v>
      </c>
      <c r="K80" s="207">
        <v>12</v>
      </c>
      <c r="L80" s="225">
        <v>0.22</v>
      </c>
      <c r="M80" s="226"/>
      <c r="N80" s="155"/>
      <c r="O80" s="157" t="str">
        <f t="shared" si="62"/>
        <v>NO</v>
      </c>
      <c r="P80" s="34">
        <v>50</v>
      </c>
      <c r="Q80" s="33">
        <v>1.5</v>
      </c>
      <c r="R80" s="34">
        <v>4</v>
      </c>
      <c r="S80" s="29">
        <v>4</v>
      </c>
      <c r="T80" s="34">
        <v>115</v>
      </c>
      <c r="U80" s="31">
        <v>82.5</v>
      </c>
      <c r="V80" s="80">
        <v>27.5</v>
      </c>
      <c r="W80" s="30">
        <f t="shared" si="63"/>
        <v>82.5</v>
      </c>
      <c r="X80" s="146">
        <f t="shared" si="64"/>
        <v>235.5</v>
      </c>
      <c r="Y80" s="147">
        <f t="shared" si="65"/>
        <v>0.839572192513369</v>
      </c>
      <c r="Z80" s="211">
        <f t="shared" si="66"/>
        <v>169.21052807486632</v>
      </c>
      <c r="AA80" s="132">
        <f t="shared" si="67"/>
        <v>1</v>
      </c>
      <c r="AB80" s="128">
        <f t="shared" si="68"/>
        <v>79.2</v>
      </c>
      <c r="AC80" s="227">
        <v>17.2</v>
      </c>
      <c r="AD80" s="52">
        <f t="shared" si="69"/>
        <v>27.38372093023256</v>
      </c>
      <c r="AE80" s="34">
        <v>30</v>
      </c>
      <c r="AF80" s="34">
        <v>1.6</v>
      </c>
      <c r="AG80" s="226">
        <v>29</v>
      </c>
      <c r="AH80" s="226">
        <v>0</v>
      </c>
      <c r="AI80" s="112">
        <f t="shared" si="70"/>
        <v>432.625</v>
      </c>
      <c r="AJ80" s="31">
        <v>80</v>
      </c>
      <c r="AK80" s="30">
        <f t="shared" si="71"/>
        <v>1</v>
      </c>
      <c r="AL80" s="52">
        <f t="shared" si="72"/>
        <v>550</v>
      </c>
      <c r="AM80" s="52">
        <f t="shared" si="73"/>
        <v>1399.15</v>
      </c>
      <c r="AN80" s="52">
        <f t="shared" si="74"/>
        <v>605.675</v>
      </c>
      <c r="AO80" s="30">
        <f t="shared" si="75"/>
        <v>132.2633984375</v>
      </c>
      <c r="AP80" s="128">
        <f t="shared" si="76"/>
        <v>19.2383125</v>
      </c>
      <c r="AQ80" s="91" t="str">
        <f t="shared" si="77"/>
        <v>OK</v>
      </c>
      <c r="AR80" s="120">
        <f t="shared" si="78"/>
        <v>226.375</v>
      </c>
      <c r="AS80" s="213">
        <f t="shared" si="79"/>
        <v>18.864583333333332</v>
      </c>
      <c r="AT80" s="52">
        <f t="shared" si="80"/>
        <v>550</v>
      </c>
      <c r="AU80" s="52">
        <f t="shared" si="81"/>
        <v>45.833333333333336</v>
      </c>
      <c r="AV80" s="81">
        <v>103</v>
      </c>
      <c r="AW80" s="63">
        <f t="shared" si="82"/>
        <v>21.39951171875</v>
      </c>
      <c r="AX80" s="119">
        <v>75.4</v>
      </c>
      <c r="AY80" s="69">
        <v>0</v>
      </c>
      <c r="AZ80" s="238">
        <f t="shared" si="83"/>
        <v>3.5802139037433154</v>
      </c>
      <c r="BA80" s="87">
        <v>317</v>
      </c>
      <c r="BB80" s="131">
        <f t="shared" si="84"/>
        <v>0.9752288358603427</v>
      </c>
      <c r="BC80" s="63">
        <f t="shared" si="85"/>
        <v>0.7698723510755466</v>
      </c>
      <c r="BD80" s="130">
        <f t="shared" si="86"/>
        <v>0.9166666666666667</v>
      </c>
      <c r="BE80" s="91" t="str">
        <f t="shared" si="87"/>
        <v>NG</v>
      </c>
      <c r="BF80" s="91" t="str">
        <f t="shared" si="88"/>
        <v>OK</v>
      </c>
    </row>
    <row r="81" spans="1:58" s="174" customFormat="1" ht="12" thickBot="1">
      <c r="A81" s="8"/>
      <c r="B81" s="165"/>
      <c r="C81" s="506"/>
      <c r="D81" s="175"/>
      <c r="E81" s="77"/>
      <c r="F81" s="62">
        <v>5</v>
      </c>
      <c r="G81" s="115" t="s">
        <v>219</v>
      </c>
      <c r="H81" s="218">
        <v>16</v>
      </c>
      <c r="I81" s="394"/>
      <c r="J81" s="100">
        <v>4.71</v>
      </c>
      <c r="K81" s="100">
        <v>12</v>
      </c>
      <c r="L81" s="116">
        <v>0.22</v>
      </c>
      <c r="M81" s="183"/>
      <c r="N81" s="156"/>
      <c r="O81" s="373" t="str">
        <f t="shared" si="62"/>
        <v>NO</v>
      </c>
      <c r="P81" s="286">
        <v>50</v>
      </c>
      <c r="Q81" s="36">
        <v>1.5</v>
      </c>
      <c r="R81" s="286">
        <v>4</v>
      </c>
      <c r="S81" s="306">
        <v>4</v>
      </c>
      <c r="T81" s="286">
        <v>115</v>
      </c>
      <c r="U81" s="35">
        <v>75</v>
      </c>
      <c r="V81" s="100">
        <v>27.5</v>
      </c>
      <c r="W81" s="107">
        <f t="shared" si="63"/>
        <v>75</v>
      </c>
      <c r="X81" s="105">
        <f t="shared" si="64"/>
        <v>235.5</v>
      </c>
      <c r="Y81" s="117">
        <f t="shared" si="65"/>
        <v>0.9235294117647059</v>
      </c>
      <c r="Z81" s="211">
        <f t="shared" si="66"/>
        <v>168.46908088235293</v>
      </c>
      <c r="AA81" s="132">
        <f t="shared" si="67"/>
        <v>1</v>
      </c>
      <c r="AB81" s="128">
        <f t="shared" si="68"/>
        <v>79.2</v>
      </c>
      <c r="AC81" s="227">
        <v>17.2</v>
      </c>
      <c r="AD81" s="52">
        <f t="shared" si="69"/>
        <v>27.38372093023256</v>
      </c>
      <c r="AE81" s="34">
        <v>30</v>
      </c>
      <c r="AF81" s="34">
        <v>1.6</v>
      </c>
      <c r="AG81" s="226">
        <v>29</v>
      </c>
      <c r="AH81" s="226">
        <v>0</v>
      </c>
      <c r="AI81" s="112">
        <f t="shared" si="70"/>
        <v>394.75</v>
      </c>
      <c r="AJ81" s="183">
        <v>80</v>
      </c>
      <c r="AK81" s="107">
        <f t="shared" si="71"/>
        <v>1</v>
      </c>
      <c r="AL81" s="52">
        <f t="shared" si="72"/>
        <v>500</v>
      </c>
      <c r="AM81" s="52">
        <f t="shared" si="73"/>
        <v>1273.7</v>
      </c>
      <c r="AN81" s="52">
        <f t="shared" si="74"/>
        <v>552.65</v>
      </c>
      <c r="AO81" s="30">
        <f t="shared" si="75"/>
        <v>120.404453125</v>
      </c>
      <c r="AP81" s="128">
        <f t="shared" si="76"/>
        <v>17.513375</v>
      </c>
      <c r="AQ81" s="91" t="str">
        <f t="shared" si="77"/>
        <v>OK</v>
      </c>
      <c r="AR81" s="120">
        <f t="shared" si="78"/>
        <v>207.25</v>
      </c>
      <c r="AS81" s="52">
        <f t="shared" si="79"/>
        <v>17.270833333333332</v>
      </c>
      <c r="AT81" s="85">
        <f t="shared" si="80"/>
        <v>500</v>
      </c>
      <c r="AU81" s="85">
        <f t="shared" si="81"/>
        <v>41.666666666666664</v>
      </c>
      <c r="AV81" s="31">
        <v>103</v>
      </c>
      <c r="AW81" s="63">
        <f t="shared" si="82"/>
        <v>19.5916015625</v>
      </c>
      <c r="AX81" s="119">
        <v>75.4</v>
      </c>
      <c r="AY81" s="227">
        <v>0</v>
      </c>
      <c r="AZ81" s="437">
        <f t="shared" si="83"/>
        <v>3.538235294117647</v>
      </c>
      <c r="BA81" s="67">
        <v>317</v>
      </c>
      <c r="BB81" s="131">
        <f t="shared" si="84"/>
        <v>0.8928378850670613</v>
      </c>
      <c r="BC81" s="63">
        <f t="shared" si="85"/>
        <v>0.6998839555232242</v>
      </c>
      <c r="BD81" s="130">
        <f t="shared" si="86"/>
        <v>0.9166666666666667</v>
      </c>
      <c r="BE81" s="91" t="str">
        <f t="shared" si="87"/>
        <v>OK</v>
      </c>
      <c r="BF81" s="91" t="str">
        <f t="shared" si="88"/>
        <v>OK</v>
      </c>
    </row>
    <row r="82" spans="2:58" ht="11.25">
      <c r="B82" s="254">
        <v>14</v>
      </c>
      <c r="C82" s="509">
        <f>B82*V82*$H82/1000</f>
        <v>3.36</v>
      </c>
      <c r="D82" s="54"/>
      <c r="E82" s="76" t="s">
        <v>220</v>
      </c>
      <c r="F82" s="438">
        <v>2</v>
      </c>
      <c r="G82" s="139" t="s">
        <v>73</v>
      </c>
      <c r="H82" s="139">
        <v>12</v>
      </c>
      <c r="I82" s="271"/>
      <c r="J82" s="140">
        <v>3.54</v>
      </c>
      <c r="K82" s="140">
        <v>9.87</v>
      </c>
      <c r="L82" s="230">
        <v>0.19</v>
      </c>
      <c r="M82" s="248"/>
      <c r="N82" s="154"/>
      <c r="O82" s="208" t="str">
        <f t="shared" si="62"/>
        <v>NO</v>
      </c>
      <c r="P82" s="4">
        <v>50</v>
      </c>
      <c r="Q82" s="6">
        <v>1.5</v>
      </c>
      <c r="R82" s="4">
        <v>4</v>
      </c>
      <c r="S82" s="140">
        <v>4</v>
      </c>
      <c r="T82" s="4">
        <v>115</v>
      </c>
      <c r="U82" s="24">
        <v>81</v>
      </c>
      <c r="V82" s="140">
        <v>20</v>
      </c>
      <c r="W82" s="23">
        <f t="shared" si="63"/>
        <v>60</v>
      </c>
      <c r="X82" s="27">
        <f t="shared" si="64"/>
        <v>177</v>
      </c>
      <c r="Y82" s="28">
        <f t="shared" si="65"/>
        <v>0.8676470588235294</v>
      </c>
      <c r="Z82" s="102">
        <f t="shared" si="66"/>
        <v>112.85311764705881</v>
      </c>
      <c r="AA82" s="162">
        <f t="shared" si="67"/>
        <v>1</v>
      </c>
      <c r="AB82" s="209">
        <f t="shared" si="68"/>
        <v>56.25899999999999</v>
      </c>
      <c r="AC82" s="6">
        <v>17.2</v>
      </c>
      <c r="AD82" s="143">
        <f t="shared" si="69"/>
        <v>20.58139534883721</v>
      </c>
      <c r="AE82" s="4">
        <v>30</v>
      </c>
      <c r="AF82" s="4">
        <v>1.6</v>
      </c>
      <c r="AG82" s="141">
        <v>29</v>
      </c>
      <c r="AH82" s="141">
        <v>0</v>
      </c>
      <c r="AI82" s="144">
        <f t="shared" si="70"/>
        <v>421.05</v>
      </c>
      <c r="AJ82" s="24">
        <v>80</v>
      </c>
      <c r="AK82" s="142">
        <f t="shared" si="71"/>
        <v>1</v>
      </c>
      <c r="AL82" s="143">
        <f t="shared" si="72"/>
        <v>540</v>
      </c>
      <c r="AM82" s="143">
        <f t="shared" si="73"/>
        <v>1369.26</v>
      </c>
      <c r="AN82" s="143">
        <f t="shared" si="74"/>
        <v>589.47</v>
      </c>
      <c r="AO82" s="142">
        <f t="shared" si="75"/>
        <v>68.463</v>
      </c>
      <c r="AP82" s="51">
        <f t="shared" si="76"/>
        <v>13.6926</v>
      </c>
      <c r="AQ82" s="90" t="str">
        <f t="shared" si="77"/>
        <v>OK</v>
      </c>
      <c r="AR82" s="103">
        <f t="shared" si="78"/>
        <v>218.55</v>
      </c>
      <c r="AS82" s="235">
        <f t="shared" si="79"/>
        <v>18.212500000000002</v>
      </c>
      <c r="AT82" s="143">
        <f t="shared" si="80"/>
        <v>540</v>
      </c>
      <c r="AU82" s="143">
        <f t="shared" si="81"/>
        <v>45</v>
      </c>
      <c r="AV82" s="24">
        <v>53.8</v>
      </c>
      <c r="AW82" s="68">
        <f t="shared" si="82"/>
        <v>10.9275</v>
      </c>
      <c r="AX82" s="118">
        <v>46.9</v>
      </c>
      <c r="AY82" s="50">
        <v>0</v>
      </c>
      <c r="AZ82" s="237">
        <f t="shared" si="83"/>
        <v>3.5661764705882355</v>
      </c>
      <c r="BA82" s="66">
        <v>180</v>
      </c>
      <c r="BB82" s="162">
        <f t="shared" si="84"/>
        <v>0.5042815023714909</v>
      </c>
      <c r="BC82" s="68">
        <f t="shared" si="85"/>
        <v>0.3724137931034483</v>
      </c>
      <c r="BD82" s="102">
        <f t="shared" si="86"/>
        <v>0.6666666666666666</v>
      </c>
      <c r="BE82" s="90" t="str">
        <f t="shared" si="87"/>
        <v>OK</v>
      </c>
      <c r="BF82" s="90" t="str">
        <f t="shared" si="88"/>
        <v>OK</v>
      </c>
    </row>
    <row r="83" spans="2:58" ht="11.25">
      <c r="B83" s="119"/>
      <c r="C83" s="508"/>
      <c r="D83" s="54"/>
      <c r="E83" s="76" t="s">
        <v>221</v>
      </c>
      <c r="F83" s="79" t="s">
        <v>215</v>
      </c>
      <c r="G83" s="223" t="s">
        <v>73</v>
      </c>
      <c r="H83" s="223">
        <v>12</v>
      </c>
      <c r="I83" s="272"/>
      <c r="J83" s="29">
        <v>3.54</v>
      </c>
      <c r="K83" s="207">
        <v>9.87</v>
      </c>
      <c r="L83" s="225">
        <v>0.19</v>
      </c>
      <c r="M83" s="226"/>
      <c r="N83" s="155"/>
      <c r="O83" s="157" t="str">
        <f t="shared" si="62"/>
        <v>NO</v>
      </c>
      <c r="P83" s="34">
        <v>50</v>
      </c>
      <c r="Q83" s="33">
        <v>1.5</v>
      </c>
      <c r="R83" s="34">
        <v>4</v>
      </c>
      <c r="S83" s="29">
        <v>4</v>
      </c>
      <c r="T83" s="34">
        <v>115</v>
      </c>
      <c r="U83" s="81">
        <v>82.5</v>
      </c>
      <c r="V83" s="29">
        <v>20</v>
      </c>
      <c r="W83" s="30">
        <f t="shared" si="63"/>
        <v>60</v>
      </c>
      <c r="X83" s="146">
        <f t="shared" si="64"/>
        <v>177</v>
      </c>
      <c r="Y83" s="147">
        <f t="shared" si="65"/>
        <v>0.8676470588235294</v>
      </c>
      <c r="Z83" s="130">
        <f t="shared" si="66"/>
        <v>112.85311764705881</v>
      </c>
      <c r="AA83" s="131">
        <f t="shared" si="67"/>
        <v>1</v>
      </c>
      <c r="AB83" s="128">
        <f t="shared" si="68"/>
        <v>56.25899999999999</v>
      </c>
      <c r="AC83" s="227">
        <v>17.2</v>
      </c>
      <c r="AD83" s="52">
        <f t="shared" si="69"/>
        <v>20.58139534883721</v>
      </c>
      <c r="AE83" s="34">
        <v>30</v>
      </c>
      <c r="AF83" s="34">
        <v>1.6</v>
      </c>
      <c r="AG83" s="226">
        <v>29</v>
      </c>
      <c r="AH83" s="226">
        <v>0</v>
      </c>
      <c r="AI83" s="112">
        <f t="shared" si="70"/>
        <v>428.625</v>
      </c>
      <c r="AJ83" s="31">
        <v>80</v>
      </c>
      <c r="AK83" s="30">
        <f t="shared" si="71"/>
        <v>1</v>
      </c>
      <c r="AL83" s="52">
        <f t="shared" si="72"/>
        <v>550</v>
      </c>
      <c r="AM83" s="52">
        <f t="shared" si="73"/>
        <v>1394.35</v>
      </c>
      <c r="AN83" s="52">
        <f t="shared" si="74"/>
        <v>600.0749999999999</v>
      </c>
      <c r="AO83" s="30">
        <f t="shared" si="75"/>
        <v>69.7175</v>
      </c>
      <c r="AP83" s="128">
        <f t="shared" si="76"/>
        <v>13.9435</v>
      </c>
      <c r="AQ83" s="91" t="str">
        <f t="shared" si="77"/>
        <v>OK</v>
      </c>
      <c r="AR83" s="120">
        <f t="shared" si="78"/>
        <v>222.375</v>
      </c>
      <c r="AS83" s="213">
        <f t="shared" si="79"/>
        <v>18.53125</v>
      </c>
      <c r="AT83" s="52">
        <f t="shared" si="80"/>
        <v>550</v>
      </c>
      <c r="AU83" s="52">
        <f t="shared" si="81"/>
        <v>45.833333333333336</v>
      </c>
      <c r="AV83" s="81">
        <v>53.8</v>
      </c>
      <c r="AW83" s="88">
        <f t="shared" si="82"/>
        <v>11.11875</v>
      </c>
      <c r="AX83" s="119">
        <v>46.9</v>
      </c>
      <c r="AY83" s="69">
        <v>0</v>
      </c>
      <c r="AZ83" s="437">
        <f t="shared" si="83"/>
        <v>3.5661764705882355</v>
      </c>
      <c r="BA83" s="87">
        <v>180</v>
      </c>
      <c r="BB83" s="131">
        <f t="shared" si="84"/>
        <v>0.5131072939366748</v>
      </c>
      <c r="BC83" s="63">
        <f t="shared" si="85"/>
        <v>0.37931034482758624</v>
      </c>
      <c r="BD83" s="130">
        <f t="shared" si="86"/>
        <v>0.6666666666666666</v>
      </c>
      <c r="BE83" s="91" t="str">
        <f t="shared" si="87"/>
        <v>OK</v>
      </c>
      <c r="BF83" s="91" t="str">
        <f t="shared" si="88"/>
        <v>OK</v>
      </c>
    </row>
    <row r="84" spans="1:58" s="174" customFormat="1" ht="12" thickBot="1">
      <c r="A84" s="8"/>
      <c r="B84" s="381"/>
      <c r="C84" s="500"/>
      <c r="D84" s="175"/>
      <c r="E84" s="77"/>
      <c r="F84" s="304">
        <v>5</v>
      </c>
      <c r="G84" s="115" t="s">
        <v>73</v>
      </c>
      <c r="H84" s="218">
        <v>12</v>
      </c>
      <c r="I84" s="273"/>
      <c r="J84" s="100">
        <v>3.54</v>
      </c>
      <c r="K84" s="100">
        <v>9.87</v>
      </c>
      <c r="L84" s="116">
        <v>0.19</v>
      </c>
      <c r="M84" s="183"/>
      <c r="N84" s="156"/>
      <c r="O84" s="158" t="str">
        <f t="shared" si="62"/>
        <v>NO</v>
      </c>
      <c r="P84" s="109">
        <v>50</v>
      </c>
      <c r="Q84" s="95">
        <v>1.5</v>
      </c>
      <c r="R84" s="109">
        <v>4</v>
      </c>
      <c r="S84" s="100">
        <v>4</v>
      </c>
      <c r="T84" s="109">
        <v>115</v>
      </c>
      <c r="U84" s="108">
        <v>75</v>
      </c>
      <c r="V84" s="100">
        <v>20</v>
      </c>
      <c r="W84" s="107">
        <f t="shared" si="63"/>
        <v>60</v>
      </c>
      <c r="X84" s="105">
        <f t="shared" si="64"/>
        <v>177</v>
      </c>
      <c r="Y84" s="117">
        <f t="shared" si="65"/>
        <v>0.8676470588235294</v>
      </c>
      <c r="Z84" s="113">
        <f t="shared" si="66"/>
        <v>112.85311764705881</v>
      </c>
      <c r="AA84" s="164">
        <f t="shared" si="67"/>
        <v>1</v>
      </c>
      <c r="AB84" s="129">
        <f t="shared" si="68"/>
        <v>56.25899999999999</v>
      </c>
      <c r="AC84" s="228">
        <v>17.2</v>
      </c>
      <c r="AD84" s="106">
        <f t="shared" si="69"/>
        <v>20.58139534883721</v>
      </c>
      <c r="AE84" s="109">
        <v>30</v>
      </c>
      <c r="AF84" s="109">
        <v>1.6</v>
      </c>
      <c r="AG84" s="183">
        <v>29</v>
      </c>
      <c r="AH84" s="183">
        <v>0</v>
      </c>
      <c r="AI84" s="133">
        <f t="shared" si="70"/>
        <v>390.75</v>
      </c>
      <c r="AJ84" s="108">
        <v>80</v>
      </c>
      <c r="AK84" s="107">
        <f t="shared" si="71"/>
        <v>1</v>
      </c>
      <c r="AL84" s="106">
        <f t="shared" si="72"/>
        <v>500</v>
      </c>
      <c r="AM84" s="106">
        <f t="shared" si="73"/>
        <v>1268.9</v>
      </c>
      <c r="AN84" s="106">
        <f t="shared" si="74"/>
        <v>547.05</v>
      </c>
      <c r="AO84" s="107">
        <f t="shared" si="75"/>
        <v>63.445</v>
      </c>
      <c r="AP84" s="129">
        <f t="shared" si="76"/>
        <v>12.689</v>
      </c>
      <c r="AQ84" s="92" t="str">
        <f t="shared" si="77"/>
        <v>OK</v>
      </c>
      <c r="AR84" s="104">
        <f t="shared" si="78"/>
        <v>203.25</v>
      </c>
      <c r="AS84" s="221">
        <f t="shared" si="79"/>
        <v>16.9375</v>
      </c>
      <c r="AT84" s="106">
        <f t="shared" si="80"/>
        <v>500</v>
      </c>
      <c r="AU84" s="106">
        <f t="shared" si="81"/>
        <v>41.666666666666664</v>
      </c>
      <c r="AV84" s="108">
        <v>53.8</v>
      </c>
      <c r="AW84" s="111">
        <f t="shared" si="82"/>
        <v>10.1625</v>
      </c>
      <c r="AX84" s="165">
        <v>46.9</v>
      </c>
      <c r="AY84" s="228">
        <v>0</v>
      </c>
      <c r="AZ84" s="240">
        <f t="shared" si="83"/>
        <v>3.5661764705882355</v>
      </c>
      <c r="BA84" s="110">
        <v>180</v>
      </c>
      <c r="BB84" s="164">
        <f t="shared" si="84"/>
        <v>0.468978336110755</v>
      </c>
      <c r="BC84" s="111">
        <f t="shared" si="85"/>
        <v>0.34482758620689646</v>
      </c>
      <c r="BD84" s="113">
        <f t="shared" si="86"/>
        <v>0.6666666666666666</v>
      </c>
      <c r="BE84" s="92" t="str">
        <f t="shared" si="87"/>
        <v>OK</v>
      </c>
      <c r="BF84" s="92" t="str">
        <f t="shared" si="88"/>
        <v>OK</v>
      </c>
    </row>
    <row r="86" spans="1:12" ht="12" thickBot="1">
      <c r="A86" s="167"/>
      <c r="B86" s="13"/>
      <c r="C86" s="318"/>
      <c r="E86" s="276"/>
      <c r="F86" s="277" t="s">
        <v>120</v>
      </c>
      <c r="G86" s="278"/>
      <c r="H86" s="278"/>
      <c r="I86" s="279" t="s">
        <v>121</v>
      </c>
      <c r="J86" s="279"/>
      <c r="K86" s="280" t="s">
        <v>122</v>
      </c>
      <c r="L86" s="167"/>
    </row>
    <row r="87" spans="1:12" ht="12" thickTop="1">
      <c r="A87" s="13"/>
      <c r="B87" s="13"/>
      <c r="C87" s="318"/>
      <c r="E87" s="241"/>
      <c r="H87" s="8" t="s">
        <v>21</v>
      </c>
      <c r="J87" s="281"/>
      <c r="K87" s="167"/>
      <c r="L87" s="167"/>
    </row>
    <row r="88" spans="2:12" ht="11.25">
      <c r="B88" s="13"/>
      <c r="C88" s="318"/>
      <c r="E88" s="276"/>
      <c r="F88" s="8"/>
      <c r="J88" s="13"/>
      <c r="K88" s="10"/>
      <c r="L88" s="13"/>
    </row>
    <row r="89" spans="2:42" ht="12" thickBot="1">
      <c r="B89" s="36"/>
      <c r="E89" s="411"/>
      <c r="F89" s="411"/>
      <c r="G89" s="36"/>
      <c r="H89" s="36"/>
      <c r="I89" s="36"/>
      <c r="J89" s="408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</row>
    <row r="90" spans="1:58" s="174" customFormat="1" ht="12" thickBot="1">
      <c r="A90" s="54"/>
      <c r="B90" s="138"/>
      <c r="C90" s="502"/>
      <c r="D90" s="175"/>
      <c r="E90" s="416" t="s">
        <v>193</v>
      </c>
      <c r="F90" s="432" t="s">
        <v>222</v>
      </c>
      <c r="G90" s="177"/>
      <c r="H90" s="177"/>
      <c r="I90" s="177"/>
      <c r="J90" s="177"/>
      <c r="K90" s="389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415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Q90" s="413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413"/>
    </row>
    <row r="91" spans="1:58" ht="11.25">
      <c r="A91" s="54"/>
      <c r="B91" s="446" t="s">
        <v>244</v>
      </c>
      <c r="C91" s="497" t="s">
        <v>56</v>
      </c>
      <c r="D91" s="54"/>
      <c r="E91" s="76" t="s">
        <v>124</v>
      </c>
      <c r="F91" s="56" t="s">
        <v>124</v>
      </c>
      <c r="G91" s="6" t="s">
        <v>58</v>
      </c>
      <c r="H91" s="6"/>
      <c r="I91" s="6"/>
      <c r="J91" s="6"/>
      <c r="K91" s="6"/>
      <c r="L91" s="6"/>
      <c r="M91" s="6"/>
      <c r="N91" s="6"/>
      <c r="O91" s="6"/>
      <c r="P91" s="3"/>
      <c r="Q91" s="38" t="s">
        <v>34</v>
      </c>
      <c r="R91" s="70"/>
      <c r="S91" s="26" t="s">
        <v>61</v>
      </c>
      <c r="T91" s="50"/>
      <c r="U91" s="5" t="s">
        <v>25</v>
      </c>
      <c r="V91" s="4"/>
      <c r="W91" s="4"/>
      <c r="X91" s="14" t="s">
        <v>49</v>
      </c>
      <c r="Y91" s="7"/>
      <c r="Z91" s="37"/>
      <c r="AA91" s="163" t="s">
        <v>96</v>
      </c>
      <c r="AB91" s="159"/>
      <c r="AC91" s="38" t="s">
        <v>17</v>
      </c>
      <c r="AD91" s="4"/>
      <c r="AE91" s="15" t="s">
        <v>7</v>
      </c>
      <c r="AF91" s="15" t="s">
        <v>7</v>
      </c>
      <c r="AG91" s="259" t="s">
        <v>7</v>
      </c>
      <c r="AH91" s="14" t="s">
        <v>7</v>
      </c>
      <c r="AI91" s="15" t="s">
        <v>7</v>
      </c>
      <c r="AJ91" s="45" t="s">
        <v>8</v>
      </c>
      <c r="AK91" s="98" t="s">
        <v>8</v>
      </c>
      <c r="AL91" s="43" t="s">
        <v>8</v>
      </c>
      <c r="AM91" s="43" t="s">
        <v>97</v>
      </c>
      <c r="AN91" s="12" t="s">
        <v>98</v>
      </c>
      <c r="AO91" s="3"/>
      <c r="AP91" s="7"/>
      <c r="AQ91" s="39" t="s">
        <v>50</v>
      </c>
      <c r="AR91" s="42" t="s">
        <v>7</v>
      </c>
      <c r="AS91" s="14" t="s">
        <v>7</v>
      </c>
      <c r="AT91" s="15" t="s">
        <v>8</v>
      </c>
      <c r="AU91" s="15" t="s">
        <v>8</v>
      </c>
      <c r="AV91" s="42" t="s">
        <v>34</v>
      </c>
      <c r="AW91" s="41" t="s">
        <v>14</v>
      </c>
      <c r="AX91" s="41" t="s">
        <v>51</v>
      </c>
      <c r="AY91" s="15" t="s">
        <v>9</v>
      </c>
      <c r="AZ91" s="15" t="s">
        <v>10</v>
      </c>
      <c r="BA91" s="17" t="s">
        <v>29</v>
      </c>
      <c r="BB91" s="42" t="s">
        <v>41</v>
      </c>
      <c r="BC91" s="41" t="s">
        <v>42</v>
      </c>
      <c r="BD91" s="57" t="s">
        <v>134</v>
      </c>
      <c r="BE91" s="55" t="s">
        <v>7</v>
      </c>
      <c r="BF91" s="56" t="s">
        <v>8</v>
      </c>
    </row>
    <row r="92" spans="2:58" ht="11.25">
      <c r="B92" s="93"/>
      <c r="C92" s="498"/>
      <c r="D92" s="54"/>
      <c r="E92" s="76"/>
      <c r="F92" s="44"/>
      <c r="G92" s="64"/>
      <c r="H92" s="64"/>
      <c r="I92" s="64"/>
      <c r="J92" s="64"/>
      <c r="K92" s="64"/>
      <c r="L92" s="64"/>
      <c r="M92" s="64"/>
      <c r="N92" s="64"/>
      <c r="O92" s="64"/>
      <c r="P92" s="69"/>
      <c r="Q92" s="14" t="s">
        <v>1</v>
      </c>
      <c r="R92" s="71"/>
      <c r="S92" s="72" t="s">
        <v>62</v>
      </c>
      <c r="T92" s="72" t="s">
        <v>63</v>
      </c>
      <c r="U92" s="12" t="s">
        <v>26</v>
      </c>
      <c r="V92" s="11"/>
      <c r="W92" s="11"/>
      <c r="Y92" s="16"/>
      <c r="Z92" s="41" t="s">
        <v>51</v>
      </c>
      <c r="AA92" s="160" t="s">
        <v>74</v>
      </c>
      <c r="AB92" s="41" t="s">
        <v>52</v>
      </c>
      <c r="AC92" s="14" t="s">
        <v>18</v>
      </c>
      <c r="AD92" s="15" t="s">
        <v>30</v>
      </c>
      <c r="AE92" s="15" t="s">
        <v>70</v>
      </c>
      <c r="AF92" s="15" t="s">
        <v>34</v>
      </c>
      <c r="AG92" s="15" t="s">
        <v>61</v>
      </c>
      <c r="AH92" s="98" t="s">
        <v>87</v>
      </c>
      <c r="AI92" s="15" t="s">
        <v>62</v>
      </c>
      <c r="AJ92" s="10"/>
      <c r="AK92" s="98" t="s">
        <v>67</v>
      </c>
      <c r="AL92" s="43" t="s">
        <v>81</v>
      </c>
      <c r="AM92" s="43" t="s">
        <v>15</v>
      </c>
      <c r="AN92" s="12"/>
      <c r="AO92" s="42" t="s">
        <v>14</v>
      </c>
      <c r="AP92" s="17" t="s">
        <v>36</v>
      </c>
      <c r="AQ92" s="44" t="s">
        <v>37</v>
      </c>
      <c r="AR92" s="42" t="s">
        <v>85</v>
      </c>
      <c r="AS92" s="13"/>
      <c r="AT92" s="11"/>
      <c r="AU92" s="11"/>
      <c r="AV92" s="42" t="s">
        <v>33</v>
      </c>
      <c r="AW92" s="17" t="s">
        <v>85</v>
      </c>
      <c r="AX92" s="40" t="s">
        <v>34</v>
      </c>
      <c r="AY92" s="10"/>
      <c r="AZ92" s="13"/>
      <c r="BA92" s="17" t="s">
        <v>46</v>
      </c>
      <c r="BB92" s="42" t="s">
        <v>13</v>
      </c>
      <c r="BC92" s="41"/>
      <c r="BD92" s="54"/>
      <c r="BE92" s="58" t="s">
        <v>39</v>
      </c>
      <c r="BF92" s="44" t="s">
        <v>39</v>
      </c>
    </row>
    <row r="93" spans="2:58" ht="11.25">
      <c r="B93" s="93"/>
      <c r="C93" s="498"/>
      <c r="D93" s="54"/>
      <c r="E93" s="76"/>
      <c r="F93" s="44"/>
      <c r="G93" s="73" t="s">
        <v>59</v>
      </c>
      <c r="H93" s="10" t="s">
        <v>56</v>
      </c>
      <c r="I93" s="10" t="s">
        <v>88</v>
      </c>
      <c r="J93" s="15" t="s">
        <v>47</v>
      </c>
      <c r="K93" s="15" t="s">
        <v>0</v>
      </c>
      <c r="L93" s="15" t="s">
        <v>2</v>
      </c>
      <c r="M93" s="15" t="s">
        <v>90</v>
      </c>
      <c r="N93" s="15" t="s">
        <v>91</v>
      </c>
      <c r="O93" s="15" t="s">
        <v>95</v>
      </c>
      <c r="P93" s="15" t="s">
        <v>3</v>
      </c>
      <c r="Q93" s="14" t="s">
        <v>19</v>
      </c>
      <c r="R93" s="15" t="s">
        <v>4</v>
      </c>
      <c r="S93" s="15" t="s">
        <v>19</v>
      </c>
      <c r="T93" s="15" t="s">
        <v>56</v>
      </c>
      <c r="U93" s="12" t="s">
        <v>16</v>
      </c>
      <c r="V93" s="15" t="s">
        <v>21</v>
      </c>
      <c r="W93" s="15" t="s">
        <v>48</v>
      </c>
      <c r="X93" s="14" t="s">
        <v>6</v>
      </c>
      <c r="Y93" s="17" t="s">
        <v>5</v>
      </c>
      <c r="Z93" s="41" t="s">
        <v>53</v>
      </c>
      <c r="AA93" s="161"/>
      <c r="AB93" s="41"/>
      <c r="AC93" s="14" t="s">
        <v>32</v>
      </c>
      <c r="AD93" s="15" t="s">
        <v>31</v>
      </c>
      <c r="AE93" s="15" t="s">
        <v>71</v>
      </c>
      <c r="AF93" s="15" t="s">
        <v>72</v>
      </c>
      <c r="AG93" s="15"/>
      <c r="AH93" s="98" t="s">
        <v>86</v>
      </c>
      <c r="AI93" s="15"/>
      <c r="AJ93" s="11"/>
      <c r="AK93" s="98" t="s">
        <v>27</v>
      </c>
      <c r="AL93" s="43" t="s">
        <v>82</v>
      </c>
      <c r="AM93" s="15" t="s">
        <v>83</v>
      </c>
      <c r="AN93" s="42" t="s">
        <v>83</v>
      </c>
      <c r="AO93" s="42"/>
      <c r="AP93" s="17"/>
      <c r="AQ93" s="41" t="s">
        <v>54</v>
      </c>
      <c r="AR93" s="134"/>
      <c r="AS93" s="11"/>
      <c r="AT93" s="11"/>
      <c r="AU93" s="11"/>
      <c r="AV93" s="11"/>
      <c r="AW93" s="16"/>
      <c r="AX93" s="40" t="s">
        <v>84</v>
      </c>
      <c r="AY93" s="10"/>
      <c r="AZ93" s="11"/>
      <c r="BA93" s="54"/>
      <c r="BB93" s="10"/>
      <c r="BC93" s="16"/>
      <c r="BD93" s="93"/>
      <c r="BE93" s="93"/>
      <c r="BF93" s="93"/>
    </row>
    <row r="94" spans="2:58" ht="12" thickBot="1">
      <c r="B94" s="381"/>
      <c r="C94" s="510" t="s">
        <v>246</v>
      </c>
      <c r="D94" s="54"/>
      <c r="E94" s="77"/>
      <c r="F94" s="62"/>
      <c r="G94" s="18" t="s">
        <v>60</v>
      </c>
      <c r="H94" s="18" t="s">
        <v>11</v>
      </c>
      <c r="I94" s="18"/>
      <c r="J94" s="1" t="s">
        <v>43</v>
      </c>
      <c r="K94" s="1" t="s">
        <v>40</v>
      </c>
      <c r="L94" s="1" t="s">
        <v>40</v>
      </c>
      <c r="M94" s="1"/>
      <c r="N94" s="1"/>
      <c r="O94" s="1"/>
      <c r="P94" s="1" t="s">
        <v>44</v>
      </c>
      <c r="Q94" s="20" t="s">
        <v>40</v>
      </c>
      <c r="R94" s="1" t="s">
        <v>44</v>
      </c>
      <c r="S94" s="1" t="s">
        <v>40</v>
      </c>
      <c r="T94" s="1" t="s">
        <v>57</v>
      </c>
      <c r="U94" s="19" t="s">
        <v>40</v>
      </c>
      <c r="V94" s="1" t="s">
        <v>12</v>
      </c>
      <c r="W94" s="1" t="s">
        <v>40</v>
      </c>
      <c r="X94" s="20" t="s">
        <v>35</v>
      </c>
      <c r="Y94" s="21" t="s">
        <v>40</v>
      </c>
      <c r="Z94" s="46" t="s">
        <v>45</v>
      </c>
      <c r="AA94" s="285"/>
      <c r="AB94" s="46" t="s">
        <v>35</v>
      </c>
      <c r="AC94" s="20" t="s">
        <v>24</v>
      </c>
      <c r="AD94" s="1" t="s">
        <v>22</v>
      </c>
      <c r="AE94" s="1" t="s">
        <v>28</v>
      </c>
      <c r="AF94" s="1" t="s">
        <v>28</v>
      </c>
      <c r="AG94" s="1" t="s">
        <v>28</v>
      </c>
      <c r="AH94" s="2" t="s">
        <v>11</v>
      </c>
      <c r="AI94" s="1" t="s">
        <v>11</v>
      </c>
      <c r="AJ94" s="47" t="s">
        <v>28</v>
      </c>
      <c r="AK94" s="286"/>
      <c r="AL94" s="48" t="s">
        <v>11</v>
      </c>
      <c r="AM94" s="354" t="s">
        <v>11</v>
      </c>
      <c r="AN94" s="309" t="s">
        <v>11</v>
      </c>
      <c r="AO94" s="2" t="s">
        <v>45</v>
      </c>
      <c r="AP94" s="21" t="s">
        <v>35</v>
      </c>
      <c r="AQ94" s="49" t="s">
        <v>23</v>
      </c>
      <c r="AR94" s="135" t="s">
        <v>11</v>
      </c>
      <c r="AS94" s="59" t="s">
        <v>20</v>
      </c>
      <c r="AT94" s="60" t="s">
        <v>11</v>
      </c>
      <c r="AU94" s="60" t="s">
        <v>20</v>
      </c>
      <c r="AV94" s="47" t="s">
        <v>38</v>
      </c>
      <c r="AW94" s="46" t="s">
        <v>45</v>
      </c>
      <c r="AX94" s="46" t="s">
        <v>45</v>
      </c>
      <c r="AY94" s="1" t="s">
        <v>40</v>
      </c>
      <c r="AZ94" s="1" t="s">
        <v>40</v>
      </c>
      <c r="BA94" s="49" t="s">
        <v>38</v>
      </c>
      <c r="BB94" s="2" t="s">
        <v>40</v>
      </c>
      <c r="BC94" s="46" t="s">
        <v>40</v>
      </c>
      <c r="BD94" s="136" t="s">
        <v>40</v>
      </c>
      <c r="BE94" s="61" t="s">
        <v>23</v>
      </c>
      <c r="BF94" s="61" t="s">
        <v>23</v>
      </c>
    </row>
    <row r="95" spans="2:58" ht="11.25">
      <c r="B95" s="118">
        <v>1</v>
      </c>
      <c r="C95" s="509">
        <f aca="true" t="shared" si="89" ref="C95:C114">B95*V95*$H95/1000</f>
        <v>0.21</v>
      </c>
      <c r="D95" s="54"/>
      <c r="E95" s="371" t="s">
        <v>223</v>
      </c>
      <c r="F95" s="421" t="s">
        <v>183</v>
      </c>
      <c r="G95" s="123" t="s">
        <v>73</v>
      </c>
      <c r="H95" s="287">
        <v>12</v>
      </c>
      <c r="I95" s="287"/>
      <c r="J95" s="22">
        <v>3.54</v>
      </c>
      <c r="K95" s="22">
        <v>9.87</v>
      </c>
      <c r="L95" s="25">
        <v>0.19</v>
      </c>
      <c r="M95" s="25"/>
      <c r="N95" s="25"/>
      <c r="O95" s="372" t="str">
        <f aca="true" t="shared" si="90" ref="O95:O114">IF(M95&lt;1.1*((N95*29000)/P95)^0.5,1,"NO")</f>
        <v>NO</v>
      </c>
      <c r="P95" s="4">
        <v>50</v>
      </c>
      <c r="Q95" s="6">
        <v>1.5</v>
      </c>
      <c r="R95" s="4">
        <v>4</v>
      </c>
      <c r="S95" s="140">
        <v>4</v>
      </c>
      <c r="T95" s="4">
        <v>115</v>
      </c>
      <c r="U95" s="141">
        <v>37.5</v>
      </c>
      <c r="V95" s="140">
        <v>17.5</v>
      </c>
      <c r="W95" s="142">
        <f aca="true" t="shared" si="91" ref="W95:W112">MIN((V95/4)*12,U95)</f>
        <v>37.5</v>
      </c>
      <c r="X95" s="440">
        <f aca="true" t="shared" si="92" ref="X95:X112">J95*P95</f>
        <v>177</v>
      </c>
      <c r="Y95" s="441">
        <f aca="true" t="shared" si="93" ref="Y95:Y112">(J95*P95)/(0.85*R95*W95)</f>
        <v>1.388235294117647</v>
      </c>
      <c r="Z95" s="442">
        <f aca="true" t="shared" si="94" ref="Z95:Z112">(0.9*((J95*P95*(K95/2))+(0.85*R95*Y95*W95*(S95-(Y95/2)))))/12</f>
        <v>109.39771323529409</v>
      </c>
      <c r="AA95" s="162">
        <f aca="true" t="shared" si="95" ref="AA95:AA114">IF(I95="v",0.9,1)</f>
        <v>1</v>
      </c>
      <c r="AB95" s="51">
        <f aca="true" t="shared" si="96" ref="AB95:AB114">IF(O95="NO",AA95*0.6*P95*K95*L95,AA95*0.6*P95*K95*L95*O95)</f>
        <v>56.25899999999999</v>
      </c>
      <c r="AC95" s="6">
        <v>17.2</v>
      </c>
      <c r="AD95" s="143">
        <f aca="true" t="shared" si="97" ref="AD95:AD112">(X95/AC95)*2</f>
        <v>20.58139534883721</v>
      </c>
      <c r="AE95" s="4">
        <v>30</v>
      </c>
      <c r="AF95" s="4">
        <v>1.6</v>
      </c>
      <c r="AG95" s="141">
        <v>29</v>
      </c>
      <c r="AH95" s="141">
        <v>520</v>
      </c>
      <c r="AI95" s="144">
        <f aca="true" t="shared" si="98" ref="AI95:AI114">((AE95+AG95+AF95)*(U95/12))+H95+AH95</f>
        <v>721.375</v>
      </c>
      <c r="AJ95" s="141">
        <v>80</v>
      </c>
      <c r="AK95" s="142">
        <f aca="true" t="shared" si="99" ref="AK95:AK114">IF(0.25+(15/($F$8*V95*(U95/12))^0.5)&gt;0.5,IF(0.25+(15/($F$8*V95*(U95/12))^0.5)&gt;1,1,0.25+(15/($F$8*V95*(U95/12))^0.5)),0.5)</f>
        <v>1</v>
      </c>
      <c r="AL95" s="143">
        <f aca="true" t="shared" si="100" ref="AL95:AL114">(AJ95*AK95)*(U95/12)</f>
        <v>250</v>
      </c>
      <c r="AM95" s="143">
        <f aca="true" t="shared" si="101" ref="AM95:AM114">(1.2*AI95)+(1.6*AL95)</f>
        <v>1265.65</v>
      </c>
      <c r="AN95" s="290">
        <f aca="true" t="shared" si="102" ref="AN95:AN114">1.4*AI95</f>
        <v>1009.925</v>
      </c>
      <c r="AO95" s="23">
        <f aca="true" t="shared" si="103" ref="AO95:AO114">MAX((AN95*V95*V95)/8000,(AM95*V95*V95)/8000)</f>
        <v>48.4506640625</v>
      </c>
      <c r="AP95" s="128">
        <f aca="true" t="shared" si="104" ref="AP95:AP114">MAX(AN95*V95/2000,AM95*V95/2000)</f>
        <v>11.0744375</v>
      </c>
      <c r="AQ95" s="443" t="str">
        <f aca="true" t="shared" si="105" ref="AQ95:AQ114">IF(AND(Z95&gt;AO95,AB95&gt;AP95),"OK","NG")</f>
        <v>OK</v>
      </c>
      <c r="AR95" s="444">
        <f aca="true" t="shared" si="106" ref="AR95:AR114">((AF95+AG95)*(U95/12))+H95</f>
        <v>107.625</v>
      </c>
      <c r="AS95" s="145">
        <f aca="true" t="shared" si="107" ref="AS95:AS114">AR95/12</f>
        <v>8.96875</v>
      </c>
      <c r="AT95" s="143">
        <f aca="true" t="shared" si="108" ref="AT95:AT114">AJ95*(U95/12)</f>
        <v>250</v>
      </c>
      <c r="AU95" s="143">
        <f aca="true" t="shared" si="109" ref="AU95:AU114">AT95/12</f>
        <v>20.833333333333332</v>
      </c>
      <c r="AV95" s="141">
        <v>53.8</v>
      </c>
      <c r="AW95" s="445">
        <f aca="true" t="shared" si="110" ref="AW95:AW114">(AR95*V95*V95)/8000</f>
        <v>4.12001953125</v>
      </c>
      <c r="AX95" s="446"/>
      <c r="AY95" s="447">
        <v>0</v>
      </c>
      <c r="AZ95" s="448">
        <f aca="true" t="shared" si="111" ref="AZ95:AZ112">S95-Y95/2</f>
        <v>3.3058823529411763</v>
      </c>
      <c r="BA95" s="7">
        <v>180</v>
      </c>
      <c r="BB95" s="449">
        <f aca="true" t="shared" si="112" ref="BB95:BB114">(5*(AS95)*((V95*12)^4))/(384*29000000*AV95)</f>
        <v>0.1455685659916397</v>
      </c>
      <c r="BC95" s="445">
        <f aca="true" t="shared" si="113" ref="BC95:BC114">(5*(AU95)*((V95*12)^4))/(384*29000000*BA95)</f>
        <v>0.1010658001077586</v>
      </c>
      <c r="BD95" s="102">
        <f aca="true" t="shared" si="114" ref="BD95:BD114">(V95/400)*12</f>
        <v>0.5249999999999999</v>
      </c>
      <c r="BE95" s="450" t="str">
        <f aca="true" t="shared" si="115" ref="BE95:BE114">IF(BB95&gt;BD95,"NG","OK")</f>
        <v>OK</v>
      </c>
      <c r="BF95" s="450" t="str">
        <f aca="true" t="shared" si="116" ref="BF95:BF114">IF(BC95&gt;BD95,"NG","OK")</f>
        <v>OK</v>
      </c>
    </row>
    <row r="96" spans="2:58" ht="11.25">
      <c r="B96" s="119">
        <v>1</v>
      </c>
      <c r="C96" s="508">
        <f t="shared" si="89"/>
        <v>0.21</v>
      </c>
      <c r="D96" s="54"/>
      <c r="E96" s="451" t="s">
        <v>174</v>
      </c>
      <c r="F96" s="79" t="s">
        <v>108</v>
      </c>
      <c r="G96" s="249" t="s">
        <v>73</v>
      </c>
      <c r="H96" s="258">
        <v>12</v>
      </c>
      <c r="I96" s="258"/>
      <c r="J96" s="29">
        <v>3.54</v>
      </c>
      <c r="K96" s="29">
        <v>9.87</v>
      </c>
      <c r="L96" s="32">
        <v>0.19</v>
      </c>
      <c r="M96" s="32"/>
      <c r="N96" s="32"/>
      <c r="O96" s="157" t="str">
        <f t="shared" si="90"/>
        <v>NO</v>
      </c>
      <c r="P96" s="34">
        <v>50</v>
      </c>
      <c r="Q96" s="33">
        <v>1.5</v>
      </c>
      <c r="R96" s="34">
        <v>4</v>
      </c>
      <c r="S96" s="29">
        <v>4</v>
      </c>
      <c r="T96" s="34">
        <v>115</v>
      </c>
      <c r="U96" s="31">
        <v>37.5</v>
      </c>
      <c r="V96" s="29">
        <v>17.5</v>
      </c>
      <c r="W96" s="30">
        <f t="shared" si="91"/>
        <v>37.5</v>
      </c>
      <c r="X96" s="146">
        <f t="shared" si="92"/>
        <v>177</v>
      </c>
      <c r="Y96" s="147">
        <f t="shared" si="93"/>
        <v>1.388235294117647</v>
      </c>
      <c r="Z96" s="294">
        <f t="shared" si="94"/>
        <v>109.39771323529409</v>
      </c>
      <c r="AA96" s="131">
        <f t="shared" si="95"/>
        <v>1</v>
      </c>
      <c r="AB96" s="128">
        <f t="shared" si="96"/>
        <v>56.25899999999999</v>
      </c>
      <c r="AC96" s="33">
        <v>17.2</v>
      </c>
      <c r="AD96" s="52">
        <f t="shared" si="97"/>
        <v>20.58139534883721</v>
      </c>
      <c r="AE96" s="34">
        <v>30</v>
      </c>
      <c r="AF96" s="34">
        <v>1.6</v>
      </c>
      <c r="AG96" s="31">
        <v>29</v>
      </c>
      <c r="AH96" s="31">
        <v>520</v>
      </c>
      <c r="AI96" s="112">
        <f t="shared" si="98"/>
        <v>721.375</v>
      </c>
      <c r="AJ96" s="31">
        <v>80</v>
      </c>
      <c r="AK96" s="30">
        <f t="shared" si="99"/>
        <v>1</v>
      </c>
      <c r="AL96" s="52">
        <f t="shared" si="100"/>
        <v>250</v>
      </c>
      <c r="AM96" s="52">
        <f t="shared" si="101"/>
        <v>1265.65</v>
      </c>
      <c r="AN96" s="85">
        <f t="shared" si="102"/>
        <v>1009.925</v>
      </c>
      <c r="AO96" s="30">
        <f t="shared" si="103"/>
        <v>48.4506640625</v>
      </c>
      <c r="AP96" s="128">
        <f t="shared" si="104"/>
        <v>11.0744375</v>
      </c>
      <c r="AQ96" s="293" t="str">
        <f t="shared" si="105"/>
        <v>OK</v>
      </c>
      <c r="AR96" s="120">
        <f t="shared" si="106"/>
        <v>107.625</v>
      </c>
      <c r="AS96" s="255">
        <f t="shared" si="107"/>
        <v>8.96875</v>
      </c>
      <c r="AT96" s="52">
        <f t="shared" si="108"/>
        <v>250</v>
      </c>
      <c r="AU96" s="52">
        <f t="shared" si="109"/>
        <v>20.833333333333332</v>
      </c>
      <c r="AV96" s="31">
        <v>53.8</v>
      </c>
      <c r="AW96" s="63">
        <f t="shared" si="110"/>
        <v>4.12001953125</v>
      </c>
      <c r="AX96" s="119"/>
      <c r="AY96" s="125">
        <v>0</v>
      </c>
      <c r="AZ96" s="256">
        <f t="shared" si="111"/>
        <v>3.3058823529411763</v>
      </c>
      <c r="BA96" s="67">
        <v>180</v>
      </c>
      <c r="BB96" s="257">
        <f t="shared" si="112"/>
        <v>0.1455685659916397</v>
      </c>
      <c r="BC96" s="63">
        <f t="shared" si="113"/>
        <v>0.1010658001077586</v>
      </c>
      <c r="BD96" s="130">
        <f t="shared" si="114"/>
        <v>0.5249999999999999</v>
      </c>
      <c r="BE96" s="91" t="str">
        <f t="shared" si="115"/>
        <v>OK</v>
      </c>
      <c r="BF96" s="91" t="str">
        <f t="shared" si="116"/>
        <v>OK</v>
      </c>
    </row>
    <row r="97" spans="2:58" ht="11.25">
      <c r="B97" s="119">
        <v>1</v>
      </c>
      <c r="C97" s="508">
        <f t="shared" si="89"/>
        <v>0.21</v>
      </c>
      <c r="D97" s="54"/>
      <c r="E97" s="357" t="s">
        <v>224</v>
      </c>
      <c r="F97" s="79" t="s">
        <v>162</v>
      </c>
      <c r="G97" s="249" t="s">
        <v>73</v>
      </c>
      <c r="H97" s="258">
        <v>12</v>
      </c>
      <c r="I97" s="258"/>
      <c r="J97" s="29">
        <v>3.54</v>
      </c>
      <c r="K97" s="29">
        <v>9.87</v>
      </c>
      <c r="L97" s="32">
        <v>0.19</v>
      </c>
      <c r="M97" s="32"/>
      <c r="N97" s="32"/>
      <c r="O97" s="157" t="str">
        <f t="shared" si="90"/>
        <v>NO</v>
      </c>
      <c r="P97" s="34">
        <v>50</v>
      </c>
      <c r="Q97" s="33">
        <v>1.5</v>
      </c>
      <c r="R97" s="34">
        <v>4</v>
      </c>
      <c r="S97" s="29">
        <v>4</v>
      </c>
      <c r="T97" s="34">
        <v>115</v>
      </c>
      <c r="U97" s="31">
        <v>37.5</v>
      </c>
      <c r="V97" s="29">
        <v>17.5</v>
      </c>
      <c r="W97" s="30">
        <f t="shared" si="91"/>
        <v>37.5</v>
      </c>
      <c r="X97" s="146">
        <f t="shared" si="92"/>
        <v>177</v>
      </c>
      <c r="Y97" s="147">
        <f t="shared" si="93"/>
        <v>1.388235294117647</v>
      </c>
      <c r="Z97" s="294">
        <f t="shared" si="94"/>
        <v>109.39771323529409</v>
      </c>
      <c r="AA97" s="131">
        <f t="shared" si="95"/>
        <v>1</v>
      </c>
      <c r="AB97" s="128">
        <f t="shared" si="96"/>
        <v>56.25899999999999</v>
      </c>
      <c r="AC97" s="33">
        <v>17.2</v>
      </c>
      <c r="AD97" s="52">
        <f t="shared" si="97"/>
        <v>20.58139534883721</v>
      </c>
      <c r="AE97" s="34">
        <v>30</v>
      </c>
      <c r="AF97" s="34">
        <v>1.6</v>
      </c>
      <c r="AG97" s="31">
        <v>29</v>
      </c>
      <c r="AH97" s="31">
        <v>520</v>
      </c>
      <c r="AI97" s="112">
        <f t="shared" si="98"/>
        <v>721.375</v>
      </c>
      <c r="AJ97" s="31">
        <v>80</v>
      </c>
      <c r="AK97" s="30">
        <f t="shared" si="99"/>
        <v>1</v>
      </c>
      <c r="AL97" s="52">
        <f t="shared" si="100"/>
        <v>250</v>
      </c>
      <c r="AM97" s="52">
        <f t="shared" si="101"/>
        <v>1265.65</v>
      </c>
      <c r="AN97" s="85">
        <f t="shared" si="102"/>
        <v>1009.925</v>
      </c>
      <c r="AO97" s="30">
        <f t="shared" si="103"/>
        <v>48.4506640625</v>
      </c>
      <c r="AP97" s="128">
        <f t="shared" si="104"/>
        <v>11.0744375</v>
      </c>
      <c r="AQ97" s="293" t="str">
        <f t="shared" si="105"/>
        <v>OK</v>
      </c>
      <c r="AR97" s="120">
        <f t="shared" si="106"/>
        <v>107.625</v>
      </c>
      <c r="AS97" s="255">
        <f t="shared" si="107"/>
        <v>8.96875</v>
      </c>
      <c r="AT97" s="52">
        <f t="shared" si="108"/>
        <v>250</v>
      </c>
      <c r="AU97" s="52">
        <f t="shared" si="109"/>
        <v>20.833333333333332</v>
      </c>
      <c r="AV97" s="31">
        <v>53.8</v>
      </c>
      <c r="AW97" s="63">
        <f t="shared" si="110"/>
        <v>4.12001953125</v>
      </c>
      <c r="AX97" s="119"/>
      <c r="AY97" s="125">
        <v>0</v>
      </c>
      <c r="AZ97" s="256">
        <f t="shared" si="111"/>
        <v>3.3058823529411763</v>
      </c>
      <c r="BA97" s="67">
        <v>180</v>
      </c>
      <c r="BB97" s="257">
        <f t="shared" si="112"/>
        <v>0.1455685659916397</v>
      </c>
      <c r="BC97" s="63">
        <f t="shared" si="113"/>
        <v>0.1010658001077586</v>
      </c>
      <c r="BD97" s="130">
        <f t="shared" si="114"/>
        <v>0.5249999999999999</v>
      </c>
      <c r="BE97" s="91" t="str">
        <f t="shared" si="115"/>
        <v>OK</v>
      </c>
      <c r="BF97" s="91" t="str">
        <f t="shared" si="116"/>
        <v>OK</v>
      </c>
    </row>
    <row r="98" spans="2:58" ht="12" thickBot="1">
      <c r="B98" s="165">
        <v>1</v>
      </c>
      <c r="C98" s="506">
        <f t="shared" si="89"/>
        <v>0.21</v>
      </c>
      <c r="D98" s="54"/>
      <c r="E98" s="355" t="s">
        <v>178</v>
      </c>
      <c r="F98" s="438" t="s">
        <v>225</v>
      </c>
      <c r="G98" s="152" t="s">
        <v>73</v>
      </c>
      <c r="H98" s="434">
        <v>12</v>
      </c>
      <c r="I98" s="434"/>
      <c r="J98" s="74">
        <v>3.54</v>
      </c>
      <c r="K98" s="74">
        <v>9.87</v>
      </c>
      <c r="L98" s="452">
        <v>0.19</v>
      </c>
      <c r="M98" s="452"/>
      <c r="N98" s="452"/>
      <c r="O98" s="392" t="str">
        <f t="shared" si="90"/>
        <v>NO</v>
      </c>
      <c r="P98" s="297">
        <v>50</v>
      </c>
      <c r="Q98" s="64">
        <v>1.5</v>
      </c>
      <c r="R98" s="297">
        <v>4</v>
      </c>
      <c r="S98" s="80">
        <v>4</v>
      </c>
      <c r="T98" s="297">
        <v>115</v>
      </c>
      <c r="U98" s="81">
        <v>37.5</v>
      </c>
      <c r="V98" s="80">
        <v>17.5</v>
      </c>
      <c r="W98" s="82">
        <f t="shared" si="91"/>
        <v>37.5</v>
      </c>
      <c r="X98" s="83">
        <f t="shared" si="92"/>
        <v>177</v>
      </c>
      <c r="Y98" s="84">
        <f t="shared" si="93"/>
        <v>1.388235294117647</v>
      </c>
      <c r="Z98" s="303">
        <f t="shared" si="94"/>
        <v>109.39771323529409</v>
      </c>
      <c r="AA98" s="132">
        <f t="shared" si="95"/>
        <v>1</v>
      </c>
      <c r="AB98" s="453">
        <f t="shared" si="96"/>
        <v>56.25899999999999</v>
      </c>
      <c r="AC98" s="64">
        <v>17.2</v>
      </c>
      <c r="AD98" s="85">
        <f t="shared" si="97"/>
        <v>20.58139534883721</v>
      </c>
      <c r="AE98" s="297">
        <v>30</v>
      </c>
      <c r="AF98" s="297">
        <v>1.6</v>
      </c>
      <c r="AG98" s="81">
        <v>29</v>
      </c>
      <c r="AH98" s="81">
        <v>520</v>
      </c>
      <c r="AI98" s="454">
        <f t="shared" si="98"/>
        <v>721.375</v>
      </c>
      <c r="AJ98" s="81">
        <v>80</v>
      </c>
      <c r="AK98" s="82">
        <f t="shared" si="99"/>
        <v>1</v>
      </c>
      <c r="AL98" s="85">
        <f t="shared" si="100"/>
        <v>250</v>
      </c>
      <c r="AM98" s="85">
        <f t="shared" si="101"/>
        <v>1265.65</v>
      </c>
      <c r="AN98" s="252">
        <f t="shared" si="102"/>
        <v>1009.925</v>
      </c>
      <c r="AO98" s="124">
        <f t="shared" si="103"/>
        <v>48.4506640625</v>
      </c>
      <c r="AP98" s="129">
        <f t="shared" si="104"/>
        <v>11.0744375</v>
      </c>
      <c r="AQ98" s="299" t="str">
        <f t="shared" si="105"/>
        <v>OK</v>
      </c>
      <c r="AR98" s="114">
        <f t="shared" si="106"/>
        <v>107.625</v>
      </c>
      <c r="AS98" s="298">
        <f t="shared" si="107"/>
        <v>8.96875</v>
      </c>
      <c r="AT98" s="85">
        <f t="shared" si="108"/>
        <v>250</v>
      </c>
      <c r="AU98" s="85">
        <f t="shared" si="109"/>
        <v>20.833333333333332</v>
      </c>
      <c r="AV98" s="81">
        <v>53.8</v>
      </c>
      <c r="AW98" s="88">
        <f t="shared" si="110"/>
        <v>4.12001953125</v>
      </c>
      <c r="AX98" s="254"/>
      <c r="AY98" s="300">
        <v>0</v>
      </c>
      <c r="AZ98" s="301">
        <f t="shared" si="111"/>
        <v>3.3058823529411763</v>
      </c>
      <c r="BA98" s="87">
        <v>180</v>
      </c>
      <c r="BB98" s="302">
        <f t="shared" si="112"/>
        <v>0.1455685659916397</v>
      </c>
      <c r="BC98" s="88">
        <f t="shared" si="113"/>
        <v>0.1010658001077586</v>
      </c>
      <c r="BD98" s="363">
        <f t="shared" si="114"/>
        <v>0.5249999999999999</v>
      </c>
      <c r="BE98" s="89" t="str">
        <f t="shared" si="115"/>
        <v>OK</v>
      </c>
      <c r="BF98" s="89" t="str">
        <f t="shared" si="116"/>
        <v>OK</v>
      </c>
    </row>
    <row r="99" spans="2:58" ht="11.25">
      <c r="B99" s="254">
        <v>1</v>
      </c>
      <c r="C99" s="505">
        <f t="shared" si="89"/>
        <v>0.385</v>
      </c>
      <c r="D99" s="54"/>
      <c r="E99" s="371" t="s">
        <v>183</v>
      </c>
      <c r="F99" s="421" t="s">
        <v>226</v>
      </c>
      <c r="G99" s="123" t="s">
        <v>219</v>
      </c>
      <c r="H99" s="287">
        <v>14</v>
      </c>
      <c r="I99" s="287" t="s">
        <v>89</v>
      </c>
      <c r="J99" s="22">
        <v>4.16</v>
      </c>
      <c r="K99" s="22">
        <v>11.9</v>
      </c>
      <c r="L99" s="25">
        <v>0.2</v>
      </c>
      <c r="M99" s="22">
        <v>54.3</v>
      </c>
      <c r="N99" s="154">
        <f>IF(M99&lt;260,5,"NO")</f>
        <v>5</v>
      </c>
      <c r="O99" s="372">
        <f t="shared" si="90"/>
        <v>1</v>
      </c>
      <c r="P99" s="4">
        <v>50</v>
      </c>
      <c r="Q99" s="6">
        <v>1.5</v>
      </c>
      <c r="R99" s="4">
        <v>4</v>
      </c>
      <c r="S99" s="140">
        <v>4</v>
      </c>
      <c r="T99" s="4">
        <v>115</v>
      </c>
      <c r="U99" s="141">
        <v>37.5</v>
      </c>
      <c r="V99" s="140">
        <v>27.5</v>
      </c>
      <c r="W99" s="142">
        <f t="shared" si="91"/>
        <v>37.5</v>
      </c>
      <c r="X99" s="440">
        <f t="shared" si="92"/>
        <v>208</v>
      </c>
      <c r="Y99" s="441">
        <f t="shared" si="93"/>
        <v>1.6313725490196078</v>
      </c>
      <c r="Z99" s="442">
        <f t="shared" si="94"/>
        <v>142.49529411764706</v>
      </c>
      <c r="AA99" s="162">
        <f t="shared" si="95"/>
        <v>0.9</v>
      </c>
      <c r="AB99" s="51">
        <f t="shared" si="96"/>
        <v>64.26</v>
      </c>
      <c r="AC99" s="6">
        <v>17.2</v>
      </c>
      <c r="AD99" s="143">
        <f t="shared" si="97"/>
        <v>24.186046511627907</v>
      </c>
      <c r="AE99" s="4">
        <v>30</v>
      </c>
      <c r="AF99" s="4">
        <v>1.6</v>
      </c>
      <c r="AG99" s="141">
        <v>29</v>
      </c>
      <c r="AH99" s="141">
        <v>520</v>
      </c>
      <c r="AI99" s="144">
        <f t="shared" si="98"/>
        <v>723.375</v>
      </c>
      <c r="AJ99" s="141">
        <v>80</v>
      </c>
      <c r="AK99" s="142">
        <f t="shared" si="99"/>
        <v>1</v>
      </c>
      <c r="AL99" s="143">
        <f t="shared" si="100"/>
        <v>250</v>
      </c>
      <c r="AM99" s="143">
        <f t="shared" si="101"/>
        <v>1268.05</v>
      </c>
      <c r="AN99" s="290">
        <f t="shared" si="102"/>
        <v>1012.7249999999999</v>
      </c>
      <c r="AO99" s="23">
        <f t="shared" si="103"/>
        <v>119.8703515625</v>
      </c>
      <c r="AP99" s="86">
        <f t="shared" si="104"/>
        <v>17.4356875</v>
      </c>
      <c r="AQ99" s="443" t="str">
        <f t="shared" si="105"/>
        <v>OK</v>
      </c>
      <c r="AR99" s="444">
        <f t="shared" si="106"/>
        <v>109.625</v>
      </c>
      <c r="AS99" s="145">
        <f t="shared" si="107"/>
        <v>9.135416666666666</v>
      </c>
      <c r="AT99" s="143">
        <f t="shared" si="108"/>
        <v>250</v>
      </c>
      <c r="AU99" s="143">
        <f t="shared" si="109"/>
        <v>20.833333333333332</v>
      </c>
      <c r="AV99" s="141">
        <v>88.6</v>
      </c>
      <c r="AW99" s="445">
        <f t="shared" si="110"/>
        <v>10.36298828125</v>
      </c>
      <c r="AX99" s="446"/>
      <c r="AY99" s="447">
        <v>0</v>
      </c>
      <c r="AZ99" s="448">
        <f t="shared" si="111"/>
        <v>3.1843137254901963</v>
      </c>
      <c r="BA99" s="7">
        <v>262</v>
      </c>
      <c r="BB99" s="449">
        <f t="shared" si="112"/>
        <v>0.5490238109228444</v>
      </c>
      <c r="BC99" s="445">
        <f t="shared" si="113"/>
        <v>0.42340307996347726</v>
      </c>
      <c r="BD99" s="102">
        <f t="shared" si="114"/>
        <v>0.8250000000000001</v>
      </c>
      <c r="BE99" s="450" t="str">
        <f t="shared" si="115"/>
        <v>OK</v>
      </c>
      <c r="BF99" s="450" t="str">
        <f t="shared" si="116"/>
        <v>OK</v>
      </c>
    </row>
    <row r="100" spans="2:58" ht="11.25">
      <c r="B100" s="119">
        <v>1</v>
      </c>
      <c r="C100" s="508">
        <f t="shared" si="89"/>
        <v>0.385</v>
      </c>
      <c r="D100" s="54"/>
      <c r="E100" s="451" t="s">
        <v>227</v>
      </c>
      <c r="F100" s="79" t="s">
        <v>174</v>
      </c>
      <c r="G100" s="249" t="s">
        <v>219</v>
      </c>
      <c r="H100" s="258">
        <v>14</v>
      </c>
      <c r="I100" s="258" t="s">
        <v>89</v>
      </c>
      <c r="J100" s="29">
        <v>4.16</v>
      </c>
      <c r="K100" s="29">
        <v>11.9</v>
      </c>
      <c r="L100" s="32">
        <v>0.2</v>
      </c>
      <c r="M100" s="29">
        <v>54.3</v>
      </c>
      <c r="N100" s="155">
        <f>IF(M100&lt;260,5,"NO")</f>
        <v>5</v>
      </c>
      <c r="O100" s="157">
        <f t="shared" si="90"/>
        <v>1</v>
      </c>
      <c r="P100" s="34">
        <v>50</v>
      </c>
      <c r="Q100" s="33">
        <v>1.5</v>
      </c>
      <c r="R100" s="34">
        <v>4</v>
      </c>
      <c r="S100" s="29">
        <v>4</v>
      </c>
      <c r="T100" s="34">
        <v>115</v>
      </c>
      <c r="U100" s="31">
        <v>37.5</v>
      </c>
      <c r="V100" s="29">
        <v>27.5</v>
      </c>
      <c r="W100" s="30">
        <f t="shared" si="91"/>
        <v>37.5</v>
      </c>
      <c r="X100" s="146">
        <f t="shared" si="92"/>
        <v>208</v>
      </c>
      <c r="Y100" s="147">
        <f t="shared" si="93"/>
        <v>1.6313725490196078</v>
      </c>
      <c r="Z100" s="294">
        <f t="shared" si="94"/>
        <v>142.49529411764706</v>
      </c>
      <c r="AA100" s="131">
        <f t="shared" si="95"/>
        <v>0.9</v>
      </c>
      <c r="AB100" s="128">
        <f t="shared" si="96"/>
        <v>64.26</v>
      </c>
      <c r="AC100" s="33">
        <v>17.2</v>
      </c>
      <c r="AD100" s="52">
        <f t="shared" si="97"/>
        <v>24.186046511627907</v>
      </c>
      <c r="AE100" s="34">
        <v>30</v>
      </c>
      <c r="AF100" s="34">
        <v>1.6</v>
      </c>
      <c r="AG100" s="31">
        <v>29</v>
      </c>
      <c r="AH100" s="31">
        <v>520</v>
      </c>
      <c r="AI100" s="112">
        <f t="shared" si="98"/>
        <v>723.375</v>
      </c>
      <c r="AJ100" s="31">
        <v>80</v>
      </c>
      <c r="AK100" s="30">
        <f t="shared" si="99"/>
        <v>1</v>
      </c>
      <c r="AL100" s="52">
        <f t="shared" si="100"/>
        <v>250</v>
      </c>
      <c r="AM100" s="52">
        <f t="shared" si="101"/>
        <v>1268.05</v>
      </c>
      <c r="AN100" s="85">
        <f t="shared" si="102"/>
        <v>1012.7249999999999</v>
      </c>
      <c r="AO100" s="30">
        <f t="shared" si="103"/>
        <v>119.8703515625</v>
      </c>
      <c r="AP100" s="128">
        <f t="shared" si="104"/>
        <v>17.4356875</v>
      </c>
      <c r="AQ100" s="293" t="str">
        <f t="shared" si="105"/>
        <v>OK</v>
      </c>
      <c r="AR100" s="120">
        <f t="shared" si="106"/>
        <v>109.625</v>
      </c>
      <c r="AS100" s="255">
        <f>AR100/12</f>
        <v>9.135416666666666</v>
      </c>
      <c r="AT100" s="52">
        <f t="shared" si="108"/>
        <v>250</v>
      </c>
      <c r="AU100" s="52">
        <f>AT100/12</f>
        <v>20.833333333333332</v>
      </c>
      <c r="AV100" s="31">
        <v>88.6</v>
      </c>
      <c r="AW100" s="63">
        <f t="shared" si="110"/>
        <v>10.36298828125</v>
      </c>
      <c r="AX100" s="119"/>
      <c r="AY100" s="125">
        <v>0</v>
      </c>
      <c r="AZ100" s="256">
        <f t="shared" si="111"/>
        <v>3.1843137254901963</v>
      </c>
      <c r="BA100" s="67">
        <v>262</v>
      </c>
      <c r="BB100" s="257">
        <f t="shared" si="112"/>
        <v>0.5490238109228444</v>
      </c>
      <c r="BC100" s="63">
        <f t="shared" si="113"/>
        <v>0.42340307996347726</v>
      </c>
      <c r="BD100" s="130">
        <f t="shared" si="114"/>
        <v>0.8250000000000001</v>
      </c>
      <c r="BE100" s="91" t="str">
        <f t="shared" si="115"/>
        <v>OK</v>
      </c>
      <c r="BF100" s="91" t="str">
        <f t="shared" si="116"/>
        <v>OK</v>
      </c>
    </row>
    <row r="101" spans="2:58" ht="11.25">
      <c r="B101" s="119">
        <v>1</v>
      </c>
      <c r="C101" s="508">
        <f t="shared" si="89"/>
        <v>0.5225</v>
      </c>
      <c r="D101" s="54"/>
      <c r="E101" s="451" t="s">
        <v>162</v>
      </c>
      <c r="F101" s="79" t="s">
        <v>240</v>
      </c>
      <c r="G101" s="249" t="s">
        <v>219</v>
      </c>
      <c r="H101" s="258">
        <v>19</v>
      </c>
      <c r="I101" s="258"/>
      <c r="J101" s="29">
        <v>5.57</v>
      </c>
      <c r="K101" s="29">
        <v>12.2</v>
      </c>
      <c r="L101" s="32">
        <v>0.235</v>
      </c>
      <c r="M101" s="29"/>
      <c r="N101" s="155"/>
      <c r="O101" s="157" t="str">
        <f t="shared" si="90"/>
        <v>NO</v>
      </c>
      <c r="P101" s="34">
        <v>50</v>
      </c>
      <c r="Q101" s="33">
        <v>1.5</v>
      </c>
      <c r="R101" s="34">
        <v>4</v>
      </c>
      <c r="S101" s="29">
        <v>4</v>
      </c>
      <c r="T101" s="34">
        <v>115</v>
      </c>
      <c r="U101" s="31">
        <v>67.5</v>
      </c>
      <c r="V101" s="29">
        <v>27.5</v>
      </c>
      <c r="W101" s="30">
        <f t="shared" si="91"/>
        <v>67.5</v>
      </c>
      <c r="X101" s="146">
        <f t="shared" si="92"/>
        <v>278.5</v>
      </c>
      <c r="Y101" s="147">
        <f t="shared" si="93"/>
        <v>1.2135076252723311</v>
      </c>
      <c r="Z101" s="294">
        <f t="shared" si="94"/>
        <v>198.29017973856207</v>
      </c>
      <c r="AA101" s="131">
        <f t="shared" si="95"/>
        <v>1</v>
      </c>
      <c r="AB101" s="128">
        <f t="shared" si="96"/>
        <v>86.00999999999999</v>
      </c>
      <c r="AC101" s="33">
        <v>17.2</v>
      </c>
      <c r="AD101" s="52">
        <f t="shared" si="97"/>
        <v>32.383720930232556</v>
      </c>
      <c r="AE101" s="34">
        <v>30</v>
      </c>
      <c r="AF101" s="34">
        <v>1.6</v>
      </c>
      <c r="AG101" s="31">
        <v>29</v>
      </c>
      <c r="AH101" s="31">
        <v>520</v>
      </c>
      <c r="AI101" s="112">
        <f t="shared" si="98"/>
        <v>879.875</v>
      </c>
      <c r="AJ101" s="31">
        <v>100</v>
      </c>
      <c r="AK101" s="30">
        <f t="shared" si="99"/>
        <v>1</v>
      </c>
      <c r="AL101" s="52">
        <f t="shared" si="100"/>
        <v>562.5</v>
      </c>
      <c r="AM101" s="52">
        <f t="shared" si="101"/>
        <v>1955.85</v>
      </c>
      <c r="AN101" s="85">
        <f t="shared" si="102"/>
        <v>1231.8249999999998</v>
      </c>
      <c r="AO101" s="30">
        <f t="shared" si="103"/>
        <v>184.8889453125</v>
      </c>
      <c r="AP101" s="128">
        <f t="shared" si="104"/>
        <v>26.8929375</v>
      </c>
      <c r="AQ101" s="293" t="str">
        <f t="shared" si="105"/>
        <v>OK</v>
      </c>
      <c r="AR101" s="120">
        <f t="shared" si="106"/>
        <v>191.125</v>
      </c>
      <c r="AS101" s="255">
        <f>AR101/12</f>
        <v>15.927083333333334</v>
      </c>
      <c r="AT101" s="52">
        <f t="shared" si="108"/>
        <v>562.5</v>
      </c>
      <c r="AU101" s="52">
        <f>AT101/12</f>
        <v>46.875</v>
      </c>
      <c r="AV101" s="31">
        <v>130</v>
      </c>
      <c r="AW101" s="63">
        <f t="shared" si="110"/>
        <v>18.06728515625</v>
      </c>
      <c r="AX101" s="119"/>
      <c r="AY101" s="125">
        <v>0</v>
      </c>
      <c r="AZ101" s="256">
        <f t="shared" si="111"/>
        <v>3.393246187363834</v>
      </c>
      <c r="BA101" s="67">
        <v>381</v>
      </c>
      <c r="BB101" s="257">
        <f t="shared" si="112"/>
        <v>0.652363180873881</v>
      </c>
      <c r="BC101" s="63">
        <f t="shared" si="113"/>
        <v>0.6551079150616006</v>
      </c>
      <c r="BD101" s="130">
        <f t="shared" si="114"/>
        <v>0.8250000000000001</v>
      </c>
      <c r="BE101" s="91" t="str">
        <f t="shared" si="115"/>
        <v>OK</v>
      </c>
      <c r="BF101" s="91" t="str">
        <f t="shared" si="116"/>
        <v>OK</v>
      </c>
    </row>
    <row r="102" spans="2:58" ht="11.25">
      <c r="B102" s="119">
        <v>1</v>
      </c>
      <c r="C102" s="508">
        <f t="shared" si="89"/>
        <v>0.5225</v>
      </c>
      <c r="D102" s="54"/>
      <c r="E102" s="451" t="s">
        <v>241</v>
      </c>
      <c r="F102" s="79" t="s">
        <v>178</v>
      </c>
      <c r="G102" s="249" t="s">
        <v>219</v>
      </c>
      <c r="H102" s="258">
        <v>19</v>
      </c>
      <c r="I102" s="258"/>
      <c r="J102" s="29">
        <v>5.57</v>
      </c>
      <c r="K102" s="29">
        <v>12.2</v>
      </c>
      <c r="L102" s="32">
        <v>0.235</v>
      </c>
      <c r="M102" s="29"/>
      <c r="N102" s="155"/>
      <c r="O102" s="157" t="str">
        <f t="shared" si="90"/>
        <v>NO</v>
      </c>
      <c r="P102" s="34">
        <v>50</v>
      </c>
      <c r="Q102" s="33">
        <v>1.5</v>
      </c>
      <c r="R102" s="34">
        <v>4</v>
      </c>
      <c r="S102" s="29">
        <v>4</v>
      </c>
      <c r="T102" s="34">
        <v>115</v>
      </c>
      <c r="U102" s="31">
        <v>67.5</v>
      </c>
      <c r="V102" s="29">
        <v>27.5</v>
      </c>
      <c r="W102" s="30">
        <f t="shared" si="91"/>
        <v>67.5</v>
      </c>
      <c r="X102" s="146">
        <f t="shared" si="92"/>
        <v>278.5</v>
      </c>
      <c r="Y102" s="147">
        <f t="shared" si="93"/>
        <v>1.2135076252723311</v>
      </c>
      <c r="Z102" s="294">
        <f t="shared" si="94"/>
        <v>198.29017973856207</v>
      </c>
      <c r="AA102" s="131">
        <f t="shared" si="95"/>
        <v>1</v>
      </c>
      <c r="AB102" s="128">
        <f t="shared" si="96"/>
        <v>86.00999999999999</v>
      </c>
      <c r="AC102" s="33">
        <v>17.2</v>
      </c>
      <c r="AD102" s="52">
        <f t="shared" si="97"/>
        <v>32.383720930232556</v>
      </c>
      <c r="AE102" s="34">
        <v>30</v>
      </c>
      <c r="AF102" s="34">
        <v>1.6</v>
      </c>
      <c r="AG102" s="31">
        <v>29</v>
      </c>
      <c r="AH102" s="31">
        <v>520</v>
      </c>
      <c r="AI102" s="112">
        <f t="shared" si="98"/>
        <v>879.875</v>
      </c>
      <c r="AJ102" s="31">
        <v>100</v>
      </c>
      <c r="AK102" s="30">
        <f t="shared" si="99"/>
        <v>1</v>
      </c>
      <c r="AL102" s="52">
        <f t="shared" si="100"/>
        <v>562.5</v>
      </c>
      <c r="AM102" s="52">
        <f t="shared" si="101"/>
        <v>1955.85</v>
      </c>
      <c r="AN102" s="85">
        <f t="shared" si="102"/>
        <v>1231.8249999999998</v>
      </c>
      <c r="AO102" s="30">
        <f t="shared" si="103"/>
        <v>184.8889453125</v>
      </c>
      <c r="AP102" s="128">
        <f t="shared" si="104"/>
        <v>26.8929375</v>
      </c>
      <c r="AQ102" s="293" t="str">
        <f t="shared" si="105"/>
        <v>OK</v>
      </c>
      <c r="AR102" s="120">
        <f t="shared" si="106"/>
        <v>191.125</v>
      </c>
      <c r="AS102" s="255">
        <f>AR102/12</f>
        <v>15.927083333333334</v>
      </c>
      <c r="AT102" s="52">
        <f t="shared" si="108"/>
        <v>562.5</v>
      </c>
      <c r="AU102" s="52">
        <f>AT102/12</f>
        <v>46.875</v>
      </c>
      <c r="AV102" s="31">
        <v>130</v>
      </c>
      <c r="AW102" s="63">
        <f t="shared" si="110"/>
        <v>18.06728515625</v>
      </c>
      <c r="AX102" s="119"/>
      <c r="AY102" s="125">
        <v>0</v>
      </c>
      <c r="AZ102" s="256">
        <f t="shared" si="111"/>
        <v>3.393246187363834</v>
      </c>
      <c r="BA102" s="67">
        <v>381</v>
      </c>
      <c r="BB102" s="257">
        <f t="shared" si="112"/>
        <v>0.652363180873881</v>
      </c>
      <c r="BC102" s="63">
        <f t="shared" si="113"/>
        <v>0.6551079150616006</v>
      </c>
      <c r="BD102" s="130">
        <f t="shared" si="114"/>
        <v>0.8250000000000001</v>
      </c>
      <c r="BE102" s="91" t="str">
        <f t="shared" si="115"/>
        <v>OK</v>
      </c>
      <c r="BF102" s="91" t="str">
        <f t="shared" si="116"/>
        <v>OK</v>
      </c>
    </row>
    <row r="103" spans="2:58" ht="11.25">
      <c r="B103" s="254">
        <v>1</v>
      </c>
      <c r="C103" s="505">
        <f t="shared" si="89"/>
        <v>0.385</v>
      </c>
      <c r="D103" s="54"/>
      <c r="E103" s="357" t="s">
        <v>228</v>
      </c>
      <c r="F103" s="79" t="s">
        <v>165</v>
      </c>
      <c r="G103" s="249" t="s">
        <v>219</v>
      </c>
      <c r="H103" s="258">
        <v>14</v>
      </c>
      <c r="I103" s="258" t="s">
        <v>89</v>
      </c>
      <c r="J103" s="29">
        <v>4.16</v>
      </c>
      <c r="K103" s="29">
        <v>11.9</v>
      </c>
      <c r="L103" s="32">
        <v>0.2</v>
      </c>
      <c r="M103" s="29">
        <v>54.3</v>
      </c>
      <c r="N103" s="155">
        <f>IF(M103&lt;260,5,"NO")</f>
        <v>5</v>
      </c>
      <c r="O103" s="157">
        <f t="shared" si="90"/>
        <v>1</v>
      </c>
      <c r="P103" s="34">
        <v>50</v>
      </c>
      <c r="Q103" s="33">
        <v>1.5</v>
      </c>
      <c r="R103" s="34">
        <v>4</v>
      </c>
      <c r="S103" s="29">
        <v>4</v>
      </c>
      <c r="T103" s="34">
        <v>115</v>
      </c>
      <c r="U103" s="31">
        <v>37.5</v>
      </c>
      <c r="V103" s="29">
        <v>27.5</v>
      </c>
      <c r="W103" s="30">
        <f t="shared" si="91"/>
        <v>37.5</v>
      </c>
      <c r="X103" s="146">
        <f t="shared" si="92"/>
        <v>208</v>
      </c>
      <c r="Y103" s="147">
        <f t="shared" si="93"/>
        <v>1.6313725490196078</v>
      </c>
      <c r="Z103" s="294">
        <f t="shared" si="94"/>
        <v>142.49529411764706</v>
      </c>
      <c r="AA103" s="131">
        <f t="shared" si="95"/>
        <v>0.9</v>
      </c>
      <c r="AB103" s="128">
        <f t="shared" si="96"/>
        <v>64.26</v>
      </c>
      <c r="AC103" s="33">
        <v>17.2</v>
      </c>
      <c r="AD103" s="52">
        <f t="shared" si="97"/>
        <v>24.186046511627907</v>
      </c>
      <c r="AE103" s="34">
        <v>30</v>
      </c>
      <c r="AF103" s="34">
        <v>1.6</v>
      </c>
      <c r="AG103" s="31">
        <v>29</v>
      </c>
      <c r="AH103" s="31">
        <v>520</v>
      </c>
      <c r="AI103" s="112">
        <f t="shared" si="98"/>
        <v>723.375</v>
      </c>
      <c r="AJ103" s="31">
        <v>100</v>
      </c>
      <c r="AK103" s="30">
        <f t="shared" si="99"/>
        <v>1</v>
      </c>
      <c r="AL103" s="52">
        <f t="shared" si="100"/>
        <v>312.5</v>
      </c>
      <c r="AM103" s="52">
        <f t="shared" si="101"/>
        <v>1368.05</v>
      </c>
      <c r="AN103" s="85">
        <f t="shared" si="102"/>
        <v>1012.7249999999999</v>
      </c>
      <c r="AO103" s="30">
        <f t="shared" si="103"/>
        <v>129.3234765625</v>
      </c>
      <c r="AP103" s="128">
        <f t="shared" si="104"/>
        <v>18.8106875</v>
      </c>
      <c r="AQ103" s="293" t="str">
        <f t="shared" si="105"/>
        <v>OK</v>
      </c>
      <c r="AR103" s="120">
        <f t="shared" si="106"/>
        <v>109.625</v>
      </c>
      <c r="AS103" s="255">
        <f t="shared" si="107"/>
        <v>9.135416666666666</v>
      </c>
      <c r="AT103" s="52">
        <f t="shared" si="108"/>
        <v>312.5</v>
      </c>
      <c r="AU103" s="52">
        <f t="shared" si="109"/>
        <v>26.041666666666668</v>
      </c>
      <c r="AV103" s="31">
        <v>88.6</v>
      </c>
      <c r="AW103" s="63">
        <f t="shared" si="110"/>
        <v>10.36298828125</v>
      </c>
      <c r="AX103" s="119"/>
      <c r="AY103" s="125">
        <v>0</v>
      </c>
      <c r="AZ103" s="256">
        <f t="shared" si="111"/>
        <v>3.1843137254901963</v>
      </c>
      <c r="BA103" s="67">
        <v>262</v>
      </c>
      <c r="BB103" s="257">
        <f t="shared" si="112"/>
        <v>0.5490238109228444</v>
      </c>
      <c r="BC103" s="63">
        <f t="shared" si="113"/>
        <v>0.5292538499543465</v>
      </c>
      <c r="BD103" s="130">
        <f t="shared" si="114"/>
        <v>0.8250000000000001</v>
      </c>
      <c r="BE103" s="91" t="str">
        <f t="shared" si="115"/>
        <v>OK</v>
      </c>
      <c r="BF103" s="91" t="str">
        <f t="shared" si="116"/>
        <v>OK</v>
      </c>
    </row>
    <row r="104" spans="2:58" ht="12" thickBot="1">
      <c r="B104" s="165">
        <v>1</v>
      </c>
      <c r="C104" s="506">
        <f t="shared" si="89"/>
        <v>0.385</v>
      </c>
      <c r="D104" s="54"/>
      <c r="E104" s="355" t="s">
        <v>173</v>
      </c>
      <c r="F104" s="438" t="s">
        <v>229</v>
      </c>
      <c r="G104" s="115" t="s">
        <v>219</v>
      </c>
      <c r="H104" s="434">
        <v>14</v>
      </c>
      <c r="I104" s="434" t="s">
        <v>89</v>
      </c>
      <c r="J104" s="74">
        <v>4.16</v>
      </c>
      <c r="K104" s="74">
        <v>11.9</v>
      </c>
      <c r="L104" s="452">
        <v>0.2</v>
      </c>
      <c r="M104" s="74">
        <v>54.3</v>
      </c>
      <c r="N104" s="435">
        <f>IF(M104&lt;260,5,"NO")</f>
        <v>5</v>
      </c>
      <c r="O104" s="392">
        <f t="shared" si="90"/>
        <v>1</v>
      </c>
      <c r="P104" s="297">
        <v>50</v>
      </c>
      <c r="Q104" s="64">
        <v>1.5</v>
      </c>
      <c r="R104" s="297">
        <v>4</v>
      </c>
      <c r="S104" s="80">
        <v>4</v>
      </c>
      <c r="T104" s="297">
        <v>115</v>
      </c>
      <c r="U104" s="81">
        <v>37.5</v>
      </c>
      <c r="V104" s="80">
        <v>27.5</v>
      </c>
      <c r="W104" s="82">
        <f t="shared" si="91"/>
        <v>37.5</v>
      </c>
      <c r="X104" s="83">
        <f t="shared" si="92"/>
        <v>208</v>
      </c>
      <c r="Y104" s="84">
        <f t="shared" si="93"/>
        <v>1.6313725490196078</v>
      </c>
      <c r="Z104" s="303">
        <f t="shared" si="94"/>
        <v>142.49529411764706</v>
      </c>
      <c r="AA104" s="132">
        <f t="shared" si="95"/>
        <v>0.9</v>
      </c>
      <c r="AB104" s="453">
        <f t="shared" si="96"/>
        <v>64.26</v>
      </c>
      <c r="AC104" s="64">
        <v>17.2</v>
      </c>
      <c r="AD104" s="85">
        <f t="shared" si="97"/>
        <v>24.186046511627907</v>
      </c>
      <c r="AE104" s="297">
        <v>30</v>
      </c>
      <c r="AF104" s="297">
        <v>1.6</v>
      </c>
      <c r="AG104" s="81">
        <v>29</v>
      </c>
      <c r="AH104" s="81">
        <v>520</v>
      </c>
      <c r="AI104" s="454">
        <f t="shared" si="98"/>
        <v>723.375</v>
      </c>
      <c r="AJ104" s="81">
        <v>100</v>
      </c>
      <c r="AK104" s="82">
        <f t="shared" si="99"/>
        <v>1</v>
      </c>
      <c r="AL104" s="85">
        <f t="shared" si="100"/>
        <v>312.5</v>
      </c>
      <c r="AM104" s="85">
        <f t="shared" si="101"/>
        <v>1368.05</v>
      </c>
      <c r="AN104" s="252">
        <f t="shared" si="102"/>
        <v>1012.7249999999999</v>
      </c>
      <c r="AO104" s="124">
        <f t="shared" si="103"/>
        <v>129.3234765625</v>
      </c>
      <c r="AP104" s="129">
        <f t="shared" si="104"/>
        <v>18.8106875</v>
      </c>
      <c r="AQ104" s="299" t="str">
        <f t="shared" si="105"/>
        <v>OK</v>
      </c>
      <c r="AR104" s="114">
        <f t="shared" si="106"/>
        <v>109.625</v>
      </c>
      <c r="AS104" s="298">
        <f t="shared" si="107"/>
        <v>9.135416666666666</v>
      </c>
      <c r="AT104" s="85">
        <f t="shared" si="108"/>
        <v>312.5</v>
      </c>
      <c r="AU104" s="85">
        <f t="shared" si="109"/>
        <v>26.041666666666668</v>
      </c>
      <c r="AV104" s="81">
        <v>88.6</v>
      </c>
      <c r="AW104" s="88">
        <f t="shared" si="110"/>
        <v>10.36298828125</v>
      </c>
      <c r="AX104" s="254"/>
      <c r="AY104" s="300">
        <v>0</v>
      </c>
      <c r="AZ104" s="301">
        <f t="shared" si="111"/>
        <v>3.1843137254901963</v>
      </c>
      <c r="BA104" s="87">
        <v>262</v>
      </c>
      <c r="BB104" s="302">
        <f t="shared" si="112"/>
        <v>0.5490238109228444</v>
      </c>
      <c r="BC104" s="88">
        <f t="shared" si="113"/>
        <v>0.5292538499543465</v>
      </c>
      <c r="BD104" s="363">
        <f t="shared" si="114"/>
        <v>0.8250000000000001</v>
      </c>
      <c r="BE104" s="89" t="str">
        <f t="shared" si="115"/>
        <v>OK</v>
      </c>
      <c r="BF104" s="89" t="str">
        <f t="shared" si="116"/>
        <v>OK</v>
      </c>
    </row>
    <row r="105" spans="2:58" ht="11.25">
      <c r="B105" s="254">
        <v>1</v>
      </c>
      <c r="C105" s="505">
        <f t="shared" si="89"/>
        <v>0.55</v>
      </c>
      <c r="D105" s="54"/>
      <c r="E105" s="371" t="s">
        <v>223</v>
      </c>
      <c r="F105" s="421" t="s">
        <v>230</v>
      </c>
      <c r="G105" s="123" t="s">
        <v>163</v>
      </c>
      <c r="H105" s="287">
        <v>22</v>
      </c>
      <c r="I105" s="287"/>
      <c r="J105" s="22">
        <v>6.49</v>
      </c>
      <c r="K105" s="22">
        <v>13.7</v>
      </c>
      <c r="L105" s="25">
        <v>0.23</v>
      </c>
      <c r="M105" s="140"/>
      <c r="N105" s="457"/>
      <c r="O105" s="372" t="str">
        <f t="shared" si="90"/>
        <v>NO</v>
      </c>
      <c r="P105" s="4">
        <v>50</v>
      </c>
      <c r="Q105" s="6">
        <v>1.5</v>
      </c>
      <c r="R105" s="4">
        <v>4</v>
      </c>
      <c r="S105" s="140">
        <v>4</v>
      </c>
      <c r="T105" s="4">
        <v>115</v>
      </c>
      <c r="U105" s="141">
        <v>105</v>
      </c>
      <c r="V105" s="140">
        <v>25</v>
      </c>
      <c r="W105" s="142">
        <f t="shared" si="91"/>
        <v>75</v>
      </c>
      <c r="X105" s="440">
        <f t="shared" si="92"/>
        <v>324.5</v>
      </c>
      <c r="Y105" s="441">
        <f t="shared" si="93"/>
        <v>1.272549019607843</v>
      </c>
      <c r="Z105" s="442">
        <f t="shared" si="94"/>
        <v>248.57654411764702</v>
      </c>
      <c r="AA105" s="162">
        <f t="shared" si="95"/>
        <v>1</v>
      </c>
      <c r="AB105" s="51">
        <f t="shared" si="96"/>
        <v>94.53</v>
      </c>
      <c r="AC105" s="6">
        <v>17.2</v>
      </c>
      <c r="AD105" s="143">
        <f t="shared" si="97"/>
        <v>37.73255813953489</v>
      </c>
      <c r="AE105" s="4">
        <v>30</v>
      </c>
      <c r="AF105" s="4">
        <v>1.6</v>
      </c>
      <c r="AG105" s="141">
        <v>29</v>
      </c>
      <c r="AH105" s="141">
        <v>520</v>
      </c>
      <c r="AI105" s="144">
        <f t="shared" si="98"/>
        <v>1072.25</v>
      </c>
      <c r="AJ105" s="141">
        <v>80</v>
      </c>
      <c r="AK105" s="142">
        <f t="shared" si="99"/>
        <v>0.9671371656006361</v>
      </c>
      <c r="AL105" s="143">
        <f t="shared" si="100"/>
        <v>676.9960159204453</v>
      </c>
      <c r="AM105" s="143">
        <f t="shared" si="101"/>
        <v>2369.8936254727123</v>
      </c>
      <c r="AN105" s="290">
        <f t="shared" si="102"/>
        <v>1501.1499999999999</v>
      </c>
      <c r="AO105" s="23">
        <f t="shared" si="103"/>
        <v>185.14793949005568</v>
      </c>
      <c r="AP105" s="86">
        <f t="shared" si="104"/>
        <v>29.623670318408905</v>
      </c>
      <c r="AQ105" s="443" t="str">
        <f t="shared" si="105"/>
        <v>OK</v>
      </c>
      <c r="AR105" s="444">
        <f t="shared" si="106"/>
        <v>289.75</v>
      </c>
      <c r="AS105" s="145">
        <f t="shared" si="107"/>
        <v>24.145833333333332</v>
      </c>
      <c r="AT105" s="143">
        <f t="shared" si="108"/>
        <v>700</v>
      </c>
      <c r="AU105" s="143">
        <f t="shared" si="109"/>
        <v>58.333333333333336</v>
      </c>
      <c r="AV105" s="141">
        <v>199</v>
      </c>
      <c r="AW105" s="445">
        <f t="shared" si="110"/>
        <v>22.63671875</v>
      </c>
      <c r="AX105" s="446"/>
      <c r="AY105" s="447">
        <v>0</v>
      </c>
      <c r="AZ105" s="448">
        <f t="shared" si="111"/>
        <v>3.3637254901960785</v>
      </c>
      <c r="BA105" s="7">
        <v>535</v>
      </c>
      <c r="BB105" s="449">
        <f t="shared" si="112"/>
        <v>0.4412806895468722</v>
      </c>
      <c r="BC105" s="445">
        <f t="shared" si="113"/>
        <v>0.39654165323880114</v>
      </c>
      <c r="BD105" s="102">
        <f t="shared" si="114"/>
        <v>0.75</v>
      </c>
      <c r="BE105" s="450" t="str">
        <f t="shared" si="115"/>
        <v>OK</v>
      </c>
      <c r="BF105" s="450" t="str">
        <f t="shared" si="116"/>
        <v>OK</v>
      </c>
    </row>
    <row r="106" spans="2:58" ht="11.25">
      <c r="B106" s="119">
        <v>1</v>
      </c>
      <c r="C106" s="508">
        <f t="shared" si="89"/>
        <v>0.55</v>
      </c>
      <c r="D106" s="54"/>
      <c r="E106" s="451" t="s">
        <v>108</v>
      </c>
      <c r="F106" s="79" t="s">
        <v>231</v>
      </c>
      <c r="G106" s="458" t="s">
        <v>163</v>
      </c>
      <c r="H106" s="295">
        <v>22</v>
      </c>
      <c r="I106" s="295"/>
      <c r="J106" s="80">
        <v>6.49</v>
      </c>
      <c r="K106" s="80">
        <v>13.7</v>
      </c>
      <c r="L106" s="296">
        <v>0.23</v>
      </c>
      <c r="M106" s="29"/>
      <c r="N106" s="155"/>
      <c r="O106" s="157" t="str">
        <f t="shared" si="90"/>
        <v>NO</v>
      </c>
      <c r="P106" s="34">
        <v>50</v>
      </c>
      <c r="Q106" s="33">
        <v>1.5</v>
      </c>
      <c r="R106" s="34">
        <v>4</v>
      </c>
      <c r="S106" s="29">
        <v>4</v>
      </c>
      <c r="T106" s="34">
        <v>115</v>
      </c>
      <c r="U106" s="31">
        <v>105</v>
      </c>
      <c r="V106" s="29">
        <v>25</v>
      </c>
      <c r="W106" s="30">
        <f t="shared" si="91"/>
        <v>75</v>
      </c>
      <c r="X106" s="146">
        <f t="shared" si="92"/>
        <v>324.5</v>
      </c>
      <c r="Y106" s="147">
        <f t="shared" si="93"/>
        <v>1.272549019607843</v>
      </c>
      <c r="Z106" s="294">
        <f t="shared" si="94"/>
        <v>248.57654411764702</v>
      </c>
      <c r="AA106" s="131">
        <f t="shared" si="95"/>
        <v>1</v>
      </c>
      <c r="AB106" s="128">
        <f t="shared" si="96"/>
        <v>94.53</v>
      </c>
      <c r="AC106" s="33">
        <v>17.2</v>
      </c>
      <c r="AD106" s="52">
        <f t="shared" si="97"/>
        <v>37.73255813953489</v>
      </c>
      <c r="AE106" s="34">
        <v>30</v>
      </c>
      <c r="AF106" s="34">
        <v>1.6</v>
      </c>
      <c r="AG106" s="31">
        <v>29</v>
      </c>
      <c r="AH106" s="31">
        <v>520</v>
      </c>
      <c r="AI106" s="112">
        <f t="shared" si="98"/>
        <v>1072.25</v>
      </c>
      <c r="AJ106" s="31">
        <v>80</v>
      </c>
      <c r="AK106" s="30">
        <f t="shared" si="99"/>
        <v>0.9671371656006361</v>
      </c>
      <c r="AL106" s="52">
        <f t="shared" si="100"/>
        <v>676.9960159204453</v>
      </c>
      <c r="AM106" s="52">
        <f t="shared" si="101"/>
        <v>2369.8936254727123</v>
      </c>
      <c r="AN106" s="85">
        <f t="shared" si="102"/>
        <v>1501.1499999999999</v>
      </c>
      <c r="AO106" s="30">
        <f t="shared" si="103"/>
        <v>185.14793949005568</v>
      </c>
      <c r="AP106" s="128">
        <f t="shared" si="104"/>
        <v>29.623670318408905</v>
      </c>
      <c r="AQ106" s="293" t="str">
        <f t="shared" si="105"/>
        <v>OK</v>
      </c>
      <c r="AR106" s="120">
        <f t="shared" si="106"/>
        <v>289.75</v>
      </c>
      <c r="AS106" s="255">
        <f t="shared" si="107"/>
        <v>24.145833333333332</v>
      </c>
      <c r="AT106" s="52">
        <f t="shared" si="108"/>
        <v>700</v>
      </c>
      <c r="AU106" s="52">
        <f t="shared" si="109"/>
        <v>58.333333333333336</v>
      </c>
      <c r="AV106" s="31">
        <v>199</v>
      </c>
      <c r="AW106" s="63">
        <f t="shared" si="110"/>
        <v>22.63671875</v>
      </c>
      <c r="AX106" s="119"/>
      <c r="AY106" s="125">
        <v>0</v>
      </c>
      <c r="AZ106" s="256">
        <f t="shared" si="111"/>
        <v>3.3637254901960785</v>
      </c>
      <c r="BA106" s="67">
        <v>535</v>
      </c>
      <c r="BB106" s="257">
        <f t="shared" si="112"/>
        <v>0.4412806895468722</v>
      </c>
      <c r="BC106" s="63">
        <f t="shared" si="113"/>
        <v>0.39654165323880114</v>
      </c>
      <c r="BD106" s="130">
        <f t="shared" si="114"/>
        <v>0.75</v>
      </c>
      <c r="BE106" s="91" t="str">
        <f t="shared" si="115"/>
        <v>OK</v>
      </c>
      <c r="BF106" s="91" t="str">
        <f t="shared" si="116"/>
        <v>OK</v>
      </c>
    </row>
    <row r="107" spans="2:58" ht="11.25">
      <c r="B107" s="254">
        <v>1</v>
      </c>
      <c r="C107" s="505">
        <f t="shared" si="89"/>
        <v>0.55</v>
      </c>
      <c r="D107" s="54"/>
      <c r="E107" s="451" t="s">
        <v>232</v>
      </c>
      <c r="F107" s="79" t="s">
        <v>224</v>
      </c>
      <c r="G107" s="458" t="s">
        <v>163</v>
      </c>
      <c r="H107" s="295">
        <v>22</v>
      </c>
      <c r="I107" s="295"/>
      <c r="J107" s="80">
        <v>6.49</v>
      </c>
      <c r="K107" s="80">
        <v>13.7</v>
      </c>
      <c r="L107" s="296">
        <v>0.23</v>
      </c>
      <c r="M107" s="80"/>
      <c r="N107" s="391"/>
      <c r="O107" s="157" t="str">
        <f t="shared" si="90"/>
        <v>NO</v>
      </c>
      <c r="P107" s="297">
        <v>50</v>
      </c>
      <c r="Q107" s="33">
        <v>1.5</v>
      </c>
      <c r="R107" s="34">
        <v>4</v>
      </c>
      <c r="S107" s="29">
        <v>4</v>
      </c>
      <c r="T107" s="34">
        <v>115</v>
      </c>
      <c r="U107" s="31">
        <v>105</v>
      </c>
      <c r="V107" s="29">
        <v>25</v>
      </c>
      <c r="W107" s="30">
        <f t="shared" si="91"/>
        <v>75</v>
      </c>
      <c r="X107" s="146">
        <f t="shared" si="92"/>
        <v>324.5</v>
      </c>
      <c r="Y107" s="147">
        <f t="shared" si="93"/>
        <v>1.272549019607843</v>
      </c>
      <c r="Z107" s="294">
        <f t="shared" si="94"/>
        <v>248.57654411764702</v>
      </c>
      <c r="AA107" s="131">
        <f t="shared" si="95"/>
        <v>1</v>
      </c>
      <c r="AB107" s="128">
        <f t="shared" si="96"/>
        <v>94.53</v>
      </c>
      <c r="AC107" s="33">
        <v>17.2</v>
      </c>
      <c r="AD107" s="52">
        <f t="shared" si="97"/>
        <v>37.73255813953489</v>
      </c>
      <c r="AE107" s="34">
        <v>30</v>
      </c>
      <c r="AF107" s="34">
        <v>1.6</v>
      </c>
      <c r="AG107" s="31">
        <v>29</v>
      </c>
      <c r="AH107" s="31">
        <v>520</v>
      </c>
      <c r="AI107" s="112">
        <f t="shared" si="98"/>
        <v>1072.25</v>
      </c>
      <c r="AJ107" s="31">
        <v>80</v>
      </c>
      <c r="AK107" s="30">
        <f t="shared" si="99"/>
        <v>0.9671371656006361</v>
      </c>
      <c r="AL107" s="52">
        <f t="shared" si="100"/>
        <v>676.9960159204453</v>
      </c>
      <c r="AM107" s="52">
        <f t="shared" si="101"/>
        <v>2369.8936254727123</v>
      </c>
      <c r="AN107" s="85">
        <f t="shared" si="102"/>
        <v>1501.1499999999999</v>
      </c>
      <c r="AO107" s="30">
        <f t="shared" si="103"/>
        <v>185.14793949005568</v>
      </c>
      <c r="AP107" s="128">
        <f t="shared" si="104"/>
        <v>29.623670318408905</v>
      </c>
      <c r="AQ107" s="293" t="str">
        <f t="shared" si="105"/>
        <v>OK</v>
      </c>
      <c r="AR107" s="120">
        <f t="shared" si="106"/>
        <v>289.75</v>
      </c>
      <c r="AS107" s="255">
        <f t="shared" si="107"/>
        <v>24.145833333333332</v>
      </c>
      <c r="AT107" s="52">
        <f t="shared" si="108"/>
        <v>700</v>
      </c>
      <c r="AU107" s="52">
        <f t="shared" si="109"/>
        <v>58.333333333333336</v>
      </c>
      <c r="AV107" s="31">
        <v>199</v>
      </c>
      <c r="AW107" s="63">
        <f t="shared" si="110"/>
        <v>22.63671875</v>
      </c>
      <c r="AX107" s="119"/>
      <c r="AY107" s="125">
        <v>0</v>
      </c>
      <c r="AZ107" s="256">
        <f t="shared" si="111"/>
        <v>3.3637254901960785</v>
      </c>
      <c r="BA107" s="67">
        <v>535</v>
      </c>
      <c r="BB107" s="257">
        <f t="shared" si="112"/>
        <v>0.4412806895468722</v>
      </c>
      <c r="BC107" s="63">
        <f t="shared" si="113"/>
        <v>0.39654165323880114</v>
      </c>
      <c r="BD107" s="130">
        <f t="shared" si="114"/>
        <v>0.75</v>
      </c>
      <c r="BE107" s="91" t="str">
        <f t="shared" si="115"/>
        <v>OK</v>
      </c>
      <c r="BF107" s="91" t="str">
        <f t="shared" si="116"/>
        <v>OK</v>
      </c>
    </row>
    <row r="108" spans="2:58" ht="12" thickBot="1">
      <c r="B108" s="165">
        <v>1</v>
      </c>
      <c r="C108" s="506">
        <f t="shared" si="89"/>
        <v>0.55</v>
      </c>
      <c r="D108" s="54"/>
      <c r="E108" s="355" t="s">
        <v>233</v>
      </c>
      <c r="F108" s="438" t="s">
        <v>225</v>
      </c>
      <c r="G108" s="115" t="s">
        <v>163</v>
      </c>
      <c r="H108" s="153">
        <v>22</v>
      </c>
      <c r="I108" s="153"/>
      <c r="J108" s="100">
        <v>6.49</v>
      </c>
      <c r="K108" s="100">
        <v>13.7</v>
      </c>
      <c r="L108" s="116">
        <v>0.23</v>
      </c>
      <c r="M108" s="100"/>
      <c r="N108" s="156"/>
      <c r="O108" s="392" t="str">
        <f t="shared" si="90"/>
        <v>NO</v>
      </c>
      <c r="P108" s="297">
        <v>50</v>
      </c>
      <c r="Q108" s="64">
        <v>1.5</v>
      </c>
      <c r="R108" s="297">
        <v>4</v>
      </c>
      <c r="S108" s="80">
        <v>4</v>
      </c>
      <c r="T108" s="297">
        <v>115</v>
      </c>
      <c r="U108" s="81">
        <v>105</v>
      </c>
      <c r="V108" s="80">
        <v>25</v>
      </c>
      <c r="W108" s="82">
        <f t="shared" si="91"/>
        <v>75</v>
      </c>
      <c r="X108" s="83">
        <f t="shared" si="92"/>
        <v>324.5</v>
      </c>
      <c r="Y108" s="84">
        <f t="shared" si="93"/>
        <v>1.272549019607843</v>
      </c>
      <c r="Z108" s="303">
        <f t="shared" si="94"/>
        <v>248.57654411764702</v>
      </c>
      <c r="AA108" s="132">
        <f t="shared" si="95"/>
        <v>1</v>
      </c>
      <c r="AB108" s="453">
        <f t="shared" si="96"/>
        <v>94.53</v>
      </c>
      <c r="AC108" s="64">
        <v>17.2</v>
      </c>
      <c r="AD108" s="85">
        <f t="shared" si="97"/>
        <v>37.73255813953489</v>
      </c>
      <c r="AE108" s="297">
        <v>30</v>
      </c>
      <c r="AF108" s="297">
        <v>1.6</v>
      </c>
      <c r="AG108" s="81">
        <v>29</v>
      </c>
      <c r="AH108" s="81">
        <v>520</v>
      </c>
      <c r="AI108" s="454">
        <f t="shared" si="98"/>
        <v>1072.25</v>
      </c>
      <c r="AJ108" s="81">
        <v>80</v>
      </c>
      <c r="AK108" s="82">
        <f t="shared" si="99"/>
        <v>0.9671371656006361</v>
      </c>
      <c r="AL108" s="85">
        <f t="shared" si="100"/>
        <v>676.9960159204453</v>
      </c>
      <c r="AM108" s="85">
        <f t="shared" si="101"/>
        <v>2369.8936254727123</v>
      </c>
      <c r="AN108" s="252">
        <f t="shared" si="102"/>
        <v>1501.1499999999999</v>
      </c>
      <c r="AO108" s="124">
        <f t="shared" si="103"/>
        <v>185.14793949005568</v>
      </c>
      <c r="AP108" s="129">
        <f t="shared" si="104"/>
        <v>29.623670318408905</v>
      </c>
      <c r="AQ108" s="299" t="str">
        <f t="shared" si="105"/>
        <v>OK</v>
      </c>
      <c r="AR108" s="114">
        <f t="shared" si="106"/>
        <v>289.75</v>
      </c>
      <c r="AS108" s="298">
        <f t="shared" si="107"/>
        <v>24.145833333333332</v>
      </c>
      <c r="AT108" s="85">
        <f t="shared" si="108"/>
        <v>700</v>
      </c>
      <c r="AU108" s="85">
        <f t="shared" si="109"/>
        <v>58.333333333333336</v>
      </c>
      <c r="AV108" s="81">
        <v>199</v>
      </c>
      <c r="AW108" s="88">
        <f t="shared" si="110"/>
        <v>22.63671875</v>
      </c>
      <c r="AX108" s="254"/>
      <c r="AY108" s="300">
        <v>0</v>
      </c>
      <c r="AZ108" s="301">
        <f t="shared" si="111"/>
        <v>3.3637254901960785</v>
      </c>
      <c r="BA108" s="87">
        <v>535</v>
      </c>
      <c r="BB108" s="302">
        <f t="shared" si="112"/>
        <v>0.4412806895468722</v>
      </c>
      <c r="BC108" s="88">
        <f t="shared" si="113"/>
        <v>0.39654165323880114</v>
      </c>
      <c r="BD108" s="363">
        <f t="shared" si="114"/>
        <v>0.75</v>
      </c>
      <c r="BE108" s="89" t="str">
        <f t="shared" si="115"/>
        <v>OK</v>
      </c>
      <c r="BF108" s="89" t="str">
        <f t="shared" si="116"/>
        <v>OK</v>
      </c>
    </row>
    <row r="109" spans="1:58" ht="11.25">
      <c r="A109" s="54"/>
      <c r="B109" s="427">
        <v>1</v>
      </c>
      <c r="C109" s="505">
        <f t="shared" si="89"/>
        <v>0.605</v>
      </c>
      <c r="D109" s="54"/>
      <c r="E109" s="371" t="s">
        <v>204</v>
      </c>
      <c r="F109" s="421" t="s">
        <v>234</v>
      </c>
      <c r="G109" s="458" t="s">
        <v>163</v>
      </c>
      <c r="H109" s="295">
        <v>22</v>
      </c>
      <c r="I109" s="295"/>
      <c r="J109" s="80">
        <v>6.49</v>
      </c>
      <c r="K109" s="80">
        <v>13.7</v>
      </c>
      <c r="L109" s="296">
        <v>0.23</v>
      </c>
      <c r="M109" s="80"/>
      <c r="N109" s="391"/>
      <c r="O109" s="372" t="str">
        <f t="shared" si="90"/>
        <v>NO</v>
      </c>
      <c r="P109" s="4">
        <v>50</v>
      </c>
      <c r="Q109" s="6">
        <v>1.5</v>
      </c>
      <c r="R109" s="4">
        <v>4</v>
      </c>
      <c r="S109" s="140">
        <v>4</v>
      </c>
      <c r="T109" s="4">
        <v>115</v>
      </c>
      <c r="U109" s="141">
        <v>117</v>
      </c>
      <c r="V109" s="140">
        <v>27.5</v>
      </c>
      <c r="W109" s="142">
        <f t="shared" si="91"/>
        <v>82.5</v>
      </c>
      <c r="X109" s="440">
        <f t="shared" si="92"/>
        <v>324.5</v>
      </c>
      <c r="Y109" s="441">
        <f t="shared" si="93"/>
        <v>1.1568627450980393</v>
      </c>
      <c r="Z109" s="442">
        <f t="shared" si="94"/>
        <v>249.9843014705882</v>
      </c>
      <c r="AA109" s="162">
        <f t="shared" si="95"/>
        <v>1</v>
      </c>
      <c r="AB109" s="51">
        <f t="shared" si="96"/>
        <v>94.53</v>
      </c>
      <c r="AC109" s="6">
        <v>17.2</v>
      </c>
      <c r="AD109" s="143">
        <f t="shared" si="97"/>
        <v>37.73255813953489</v>
      </c>
      <c r="AE109" s="4">
        <v>30</v>
      </c>
      <c r="AF109" s="4">
        <v>1.6</v>
      </c>
      <c r="AG109" s="141">
        <v>29</v>
      </c>
      <c r="AH109" s="141">
        <v>520</v>
      </c>
      <c r="AI109" s="144">
        <f t="shared" si="98"/>
        <v>1132.85</v>
      </c>
      <c r="AJ109" s="141">
        <v>80</v>
      </c>
      <c r="AK109" s="142">
        <f t="shared" si="99"/>
        <v>0.8977502756312957</v>
      </c>
      <c r="AL109" s="143">
        <f t="shared" si="100"/>
        <v>700.2452149924106</v>
      </c>
      <c r="AM109" s="143">
        <f t="shared" si="101"/>
        <v>2479.812343987857</v>
      </c>
      <c r="AN109" s="290">
        <f t="shared" si="102"/>
        <v>1585.9899999999998</v>
      </c>
      <c r="AO109" s="23">
        <f t="shared" si="103"/>
        <v>234.4197606426021</v>
      </c>
      <c r="AP109" s="86">
        <f t="shared" si="104"/>
        <v>34.097419729833035</v>
      </c>
      <c r="AQ109" s="443" t="str">
        <f t="shared" si="105"/>
        <v>OK</v>
      </c>
      <c r="AR109" s="444">
        <f t="shared" si="106"/>
        <v>320.35</v>
      </c>
      <c r="AS109" s="145">
        <f t="shared" si="107"/>
        <v>26.695833333333336</v>
      </c>
      <c r="AT109" s="143">
        <f t="shared" si="108"/>
        <v>780</v>
      </c>
      <c r="AU109" s="143">
        <f t="shared" si="109"/>
        <v>65</v>
      </c>
      <c r="AV109" s="141">
        <v>199</v>
      </c>
      <c r="AW109" s="445">
        <f t="shared" si="110"/>
        <v>30.2830859375</v>
      </c>
      <c r="AX109" s="446"/>
      <c r="AY109" s="447">
        <v>0</v>
      </c>
      <c r="AZ109" s="448">
        <f t="shared" si="111"/>
        <v>3.4215686274509802</v>
      </c>
      <c r="BA109" s="7">
        <v>538</v>
      </c>
      <c r="BB109" s="449">
        <f t="shared" si="112"/>
        <v>0.7143103575190067</v>
      </c>
      <c r="BC109" s="445">
        <f t="shared" si="113"/>
        <v>0.6433208432813101</v>
      </c>
      <c r="BD109" s="102">
        <f t="shared" si="114"/>
        <v>0.8250000000000001</v>
      </c>
      <c r="BE109" s="450" t="str">
        <f t="shared" si="115"/>
        <v>OK</v>
      </c>
      <c r="BF109" s="450" t="str">
        <f t="shared" si="116"/>
        <v>OK</v>
      </c>
    </row>
    <row r="110" spans="1:58" ht="11.25">
      <c r="A110" s="54"/>
      <c r="B110" s="362">
        <v>1</v>
      </c>
      <c r="C110" s="512">
        <f t="shared" si="89"/>
        <v>0.605</v>
      </c>
      <c r="D110" s="54"/>
      <c r="E110" s="451" t="s">
        <v>234</v>
      </c>
      <c r="F110" s="79" t="s">
        <v>205</v>
      </c>
      <c r="G110" s="249" t="s">
        <v>163</v>
      </c>
      <c r="H110" s="258">
        <v>22</v>
      </c>
      <c r="I110" s="258"/>
      <c r="J110" s="29">
        <v>6.49</v>
      </c>
      <c r="K110" s="29">
        <v>13.7</v>
      </c>
      <c r="L110" s="32">
        <v>0.23</v>
      </c>
      <c r="M110" s="29"/>
      <c r="N110" s="155"/>
      <c r="O110" s="157" t="str">
        <f t="shared" si="90"/>
        <v>NO</v>
      </c>
      <c r="P110" s="34">
        <v>50</v>
      </c>
      <c r="Q110" s="33">
        <v>1.5</v>
      </c>
      <c r="R110" s="34">
        <v>4</v>
      </c>
      <c r="S110" s="29">
        <v>4</v>
      </c>
      <c r="T110" s="34">
        <v>115</v>
      </c>
      <c r="U110" s="31">
        <v>117</v>
      </c>
      <c r="V110" s="29">
        <v>27.5</v>
      </c>
      <c r="W110" s="30">
        <f t="shared" si="91"/>
        <v>82.5</v>
      </c>
      <c r="X110" s="146">
        <f t="shared" si="92"/>
        <v>324.5</v>
      </c>
      <c r="Y110" s="147">
        <f t="shared" si="93"/>
        <v>1.1568627450980393</v>
      </c>
      <c r="Z110" s="294">
        <f t="shared" si="94"/>
        <v>249.9843014705882</v>
      </c>
      <c r="AA110" s="131">
        <f t="shared" si="95"/>
        <v>1</v>
      </c>
      <c r="AB110" s="128">
        <f t="shared" si="96"/>
        <v>94.53</v>
      </c>
      <c r="AC110" s="33">
        <v>17.2</v>
      </c>
      <c r="AD110" s="52">
        <f t="shared" si="97"/>
        <v>37.73255813953489</v>
      </c>
      <c r="AE110" s="34">
        <v>30</v>
      </c>
      <c r="AF110" s="34">
        <v>1.6</v>
      </c>
      <c r="AG110" s="31">
        <v>29</v>
      </c>
      <c r="AH110" s="31">
        <v>520</v>
      </c>
      <c r="AI110" s="112">
        <f t="shared" si="98"/>
        <v>1132.85</v>
      </c>
      <c r="AJ110" s="31">
        <v>80</v>
      </c>
      <c r="AK110" s="30">
        <f t="shared" si="99"/>
        <v>0.8977502756312957</v>
      </c>
      <c r="AL110" s="52">
        <f t="shared" si="100"/>
        <v>700.2452149924106</v>
      </c>
      <c r="AM110" s="52">
        <f t="shared" si="101"/>
        <v>2479.812343987857</v>
      </c>
      <c r="AN110" s="85">
        <f t="shared" si="102"/>
        <v>1585.9899999999998</v>
      </c>
      <c r="AO110" s="30">
        <f t="shared" si="103"/>
        <v>234.4197606426021</v>
      </c>
      <c r="AP110" s="128">
        <f t="shared" si="104"/>
        <v>34.097419729833035</v>
      </c>
      <c r="AQ110" s="293" t="str">
        <f t="shared" si="105"/>
        <v>OK</v>
      </c>
      <c r="AR110" s="120">
        <f t="shared" si="106"/>
        <v>320.35</v>
      </c>
      <c r="AS110" s="255">
        <f t="shared" si="107"/>
        <v>26.695833333333336</v>
      </c>
      <c r="AT110" s="52">
        <f t="shared" si="108"/>
        <v>780</v>
      </c>
      <c r="AU110" s="52">
        <f t="shared" si="109"/>
        <v>65</v>
      </c>
      <c r="AV110" s="31">
        <v>199</v>
      </c>
      <c r="AW110" s="63">
        <f t="shared" si="110"/>
        <v>30.2830859375</v>
      </c>
      <c r="AX110" s="119"/>
      <c r="AY110" s="125">
        <v>0</v>
      </c>
      <c r="AZ110" s="256">
        <f t="shared" si="111"/>
        <v>3.4215686274509802</v>
      </c>
      <c r="BA110" s="67">
        <v>538</v>
      </c>
      <c r="BB110" s="257">
        <f t="shared" si="112"/>
        <v>0.7143103575190067</v>
      </c>
      <c r="BC110" s="63">
        <f t="shared" si="113"/>
        <v>0.6433208432813101</v>
      </c>
      <c r="BD110" s="130">
        <f t="shared" si="114"/>
        <v>0.8250000000000001</v>
      </c>
      <c r="BE110" s="91" t="str">
        <f t="shared" si="115"/>
        <v>OK</v>
      </c>
      <c r="BF110" s="91" t="str">
        <f t="shared" si="116"/>
        <v>OK</v>
      </c>
    </row>
    <row r="111" spans="1:58" ht="11.25">
      <c r="A111" s="54"/>
      <c r="B111" s="427">
        <v>1</v>
      </c>
      <c r="C111" s="505">
        <f t="shared" si="89"/>
        <v>0.605</v>
      </c>
      <c r="D111" s="54"/>
      <c r="E111" s="357" t="s">
        <v>206</v>
      </c>
      <c r="F111" s="79" t="s">
        <v>235</v>
      </c>
      <c r="G111" s="458" t="s">
        <v>163</v>
      </c>
      <c r="H111" s="295">
        <v>22</v>
      </c>
      <c r="I111" s="295"/>
      <c r="J111" s="80">
        <v>6.49</v>
      </c>
      <c r="K111" s="80">
        <v>13.7</v>
      </c>
      <c r="L111" s="296">
        <v>0.23</v>
      </c>
      <c r="M111" s="80"/>
      <c r="N111" s="391"/>
      <c r="O111" s="157" t="str">
        <f t="shared" si="90"/>
        <v>NO</v>
      </c>
      <c r="P111" s="34">
        <v>50</v>
      </c>
      <c r="Q111" s="33">
        <v>1.5</v>
      </c>
      <c r="R111" s="34">
        <v>4</v>
      </c>
      <c r="S111" s="29">
        <v>4</v>
      </c>
      <c r="T111" s="34">
        <v>115</v>
      </c>
      <c r="U111" s="31">
        <v>117</v>
      </c>
      <c r="V111" s="29">
        <v>27.5</v>
      </c>
      <c r="W111" s="30">
        <f t="shared" si="91"/>
        <v>82.5</v>
      </c>
      <c r="X111" s="146">
        <f t="shared" si="92"/>
        <v>324.5</v>
      </c>
      <c r="Y111" s="147">
        <f t="shared" si="93"/>
        <v>1.1568627450980393</v>
      </c>
      <c r="Z111" s="294">
        <f t="shared" si="94"/>
        <v>249.9843014705882</v>
      </c>
      <c r="AA111" s="131">
        <f t="shared" si="95"/>
        <v>1</v>
      </c>
      <c r="AB111" s="128">
        <f t="shared" si="96"/>
        <v>94.53</v>
      </c>
      <c r="AC111" s="33">
        <v>17.2</v>
      </c>
      <c r="AD111" s="52">
        <f t="shared" si="97"/>
        <v>37.73255813953489</v>
      </c>
      <c r="AE111" s="34">
        <v>30</v>
      </c>
      <c r="AF111" s="34">
        <v>1.6</v>
      </c>
      <c r="AG111" s="31">
        <v>29</v>
      </c>
      <c r="AH111" s="31">
        <v>520</v>
      </c>
      <c r="AI111" s="112">
        <f t="shared" si="98"/>
        <v>1132.85</v>
      </c>
      <c r="AJ111" s="31">
        <v>80</v>
      </c>
      <c r="AK111" s="30">
        <f t="shared" si="99"/>
        <v>0.8977502756312957</v>
      </c>
      <c r="AL111" s="52">
        <f t="shared" si="100"/>
        <v>700.2452149924106</v>
      </c>
      <c r="AM111" s="52">
        <f t="shared" si="101"/>
        <v>2479.812343987857</v>
      </c>
      <c r="AN111" s="85">
        <f t="shared" si="102"/>
        <v>1585.9899999999998</v>
      </c>
      <c r="AO111" s="30">
        <f t="shared" si="103"/>
        <v>234.4197606426021</v>
      </c>
      <c r="AP111" s="128">
        <f t="shared" si="104"/>
        <v>34.097419729833035</v>
      </c>
      <c r="AQ111" s="293" t="str">
        <f t="shared" si="105"/>
        <v>OK</v>
      </c>
      <c r="AR111" s="120">
        <f t="shared" si="106"/>
        <v>320.35</v>
      </c>
      <c r="AS111" s="255">
        <f t="shared" si="107"/>
        <v>26.695833333333336</v>
      </c>
      <c r="AT111" s="52">
        <f t="shared" si="108"/>
        <v>780</v>
      </c>
      <c r="AU111" s="52">
        <f t="shared" si="109"/>
        <v>65</v>
      </c>
      <c r="AV111" s="31">
        <v>199</v>
      </c>
      <c r="AW111" s="63">
        <f t="shared" si="110"/>
        <v>30.2830859375</v>
      </c>
      <c r="AX111" s="119"/>
      <c r="AY111" s="125">
        <v>0</v>
      </c>
      <c r="AZ111" s="256">
        <f t="shared" si="111"/>
        <v>3.4215686274509802</v>
      </c>
      <c r="BA111" s="67">
        <v>538</v>
      </c>
      <c r="BB111" s="257">
        <f t="shared" si="112"/>
        <v>0.7143103575190067</v>
      </c>
      <c r="BC111" s="63">
        <f t="shared" si="113"/>
        <v>0.6433208432813101</v>
      </c>
      <c r="BD111" s="130">
        <f t="shared" si="114"/>
        <v>0.8250000000000001</v>
      </c>
      <c r="BE111" s="91" t="str">
        <f t="shared" si="115"/>
        <v>OK</v>
      </c>
      <c r="BF111" s="91" t="str">
        <f t="shared" si="116"/>
        <v>OK</v>
      </c>
    </row>
    <row r="112" spans="2:59" ht="12" thickBot="1">
      <c r="B112" s="165">
        <v>1</v>
      </c>
      <c r="C112" s="506">
        <f t="shared" si="89"/>
        <v>0.605</v>
      </c>
      <c r="D112" s="54"/>
      <c r="E112" s="393" t="s">
        <v>235</v>
      </c>
      <c r="F112" s="459" t="s">
        <v>207</v>
      </c>
      <c r="G112" s="115" t="s">
        <v>163</v>
      </c>
      <c r="H112" s="153">
        <v>22</v>
      </c>
      <c r="I112" s="153"/>
      <c r="J112" s="100">
        <v>6.49</v>
      </c>
      <c r="K112" s="100">
        <v>13.7</v>
      </c>
      <c r="L112" s="116">
        <v>0.23</v>
      </c>
      <c r="M112" s="100"/>
      <c r="N112" s="156"/>
      <c r="O112" s="158" t="str">
        <f t="shared" si="90"/>
        <v>NO</v>
      </c>
      <c r="P112" s="286">
        <v>50</v>
      </c>
      <c r="Q112" s="36">
        <v>1.5</v>
      </c>
      <c r="R112" s="286">
        <v>4</v>
      </c>
      <c r="S112" s="306">
        <v>4</v>
      </c>
      <c r="T112" s="286">
        <v>115</v>
      </c>
      <c r="U112" s="35">
        <v>117</v>
      </c>
      <c r="V112" s="306">
        <v>27.5</v>
      </c>
      <c r="W112" s="148">
        <f t="shared" si="91"/>
        <v>82.5</v>
      </c>
      <c r="X112" s="149">
        <f t="shared" si="92"/>
        <v>324.5</v>
      </c>
      <c r="Y112" s="150">
        <f t="shared" si="93"/>
        <v>1.1568627450980393</v>
      </c>
      <c r="Z112" s="374">
        <f t="shared" si="94"/>
        <v>249.9843014705882</v>
      </c>
      <c r="AA112" s="164">
        <f t="shared" si="95"/>
        <v>1</v>
      </c>
      <c r="AB112" s="308">
        <f t="shared" si="96"/>
        <v>94.53</v>
      </c>
      <c r="AC112" s="36">
        <v>17.2</v>
      </c>
      <c r="AD112" s="376">
        <f t="shared" si="97"/>
        <v>37.73255813953489</v>
      </c>
      <c r="AE112" s="286">
        <v>30</v>
      </c>
      <c r="AF112" s="286">
        <v>1.6</v>
      </c>
      <c r="AG112" s="35">
        <v>29</v>
      </c>
      <c r="AH112" s="35">
        <v>520</v>
      </c>
      <c r="AI112" s="377">
        <f t="shared" si="98"/>
        <v>1132.85</v>
      </c>
      <c r="AJ112" s="35">
        <v>80</v>
      </c>
      <c r="AK112" s="148">
        <f t="shared" si="99"/>
        <v>0.8977502756312957</v>
      </c>
      <c r="AL112" s="376">
        <f t="shared" si="100"/>
        <v>700.2452149924106</v>
      </c>
      <c r="AM112" s="376">
        <f t="shared" si="101"/>
        <v>2479.812343987857</v>
      </c>
      <c r="AN112" s="252">
        <f t="shared" si="102"/>
        <v>1585.9899999999998</v>
      </c>
      <c r="AO112" s="124">
        <f t="shared" si="103"/>
        <v>234.4197606426021</v>
      </c>
      <c r="AP112" s="129">
        <f t="shared" si="104"/>
        <v>34.097419729833035</v>
      </c>
      <c r="AQ112" s="311" t="str">
        <f t="shared" si="105"/>
        <v>OK</v>
      </c>
      <c r="AR112" s="378">
        <f t="shared" si="106"/>
        <v>320.35</v>
      </c>
      <c r="AS112" s="379">
        <f t="shared" si="107"/>
        <v>26.695833333333336</v>
      </c>
      <c r="AT112" s="376">
        <f t="shared" si="108"/>
        <v>780</v>
      </c>
      <c r="AU112" s="376">
        <f t="shared" si="109"/>
        <v>65</v>
      </c>
      <c r="AV112" s="35">
        <v>199</v>
      </c>
      <c r="AW112" s="380">
        <f t="shared" si="110"/>
        <v>30.2830859375</v>
      </c>
      <c r="AX112" s="381"/>
      <c r="AY112" s="382">
        <v>0</v>
      </c>
      <c r="AZ112" s="383">
        <f t="shared" si="111"/>
        <v>3.4215686274509802</v>
      </c>
      <c r="BA112" s="368">
        <v>538</v>
      </c>
      <c r="BB112" s="310">
        <f t="shared" si="112"/>
        <v>0.7143103575190067</v>
      </c>
      <c r="BC112" s="380">
        <f t="shared" si="113"/>
        <v>0.6433208432813101</v>
      </c>
      <c r="BD112" s="113">
        <f t="shared" si="114"/>
        <v>0.8250000000000001</v>
      </c>
      <c r="BE112" s="385" t="str">
        <f t="shared" si="115"/>
        <v>OK</v>
      </c>
      <c r="BF112" s="311" t="str">
        <f t="shared" si="116"/>
        <v>OK</v>
      </c>
      <c r="BG112" s="460"/>
    </row>
    <row r="113" spans="2:59" ht="11.25">
      <c r="B113" s="254">
        <v>1</v>
      </c>
      <c r="C113" s="505">
        <f t="shared" si="89"/>
        <v>0.05</v>
      </c>
      <c r="D113" s="54"/>
      <c r="E113" s="371" t="s">
        <v>162</v>
      </c>
      <c r="F113" s="421" t="s">
        <v>228</v>
      </c>
      <c r="G113" s="123" t="s">
        <v>236</v>
      </c>
      <c r="H113" s="287">
        <v>10</v>
      </c>
      <c r="I113" s="287"/>
      <c r="J113" s="22">
        <v>2.96</v>
      </c>
      <c r="K113" s="22">
        <v>7.89</v>
      </c>
      <c r="L113" s="25">
        <v>0.17</v>
      </c>
      <c r="M113" s="22"/>
      <c r="N113" s="154"/>
      <c r="O113" s="372" t="str">
        <f t="shared" si="90"/>
        <v>NO</v>
      </c>
      <c r="P113" s="4">
        <v>50</v>
      </c>
      <c r="Q113" s="6">
        <v>1.5</v>
      </c>
      <c r="R113" s="4">
        <v>4</v>
      </c>
      <c r="S113" s="140">
        <v>4</v>
      </c>
      <c r="T113" s="4">
        <v>115</v>
      </c>
      <c r="U113" s="141">
        <v>0.1</v>
      </c>
      <c r="V113" s="140">
        <v>5</v>
      </c>
      <c r="X113" s="399" t="s">
        <v>237</v>
      </c>
      <c r="Y113" s="455" t="s">
        <v>238</v>
      </c>
      <c r="Z113" s="189">
        <v>28.5</v>
      </c>
      <c r="AA113" s="162">
        <f t="shared" si="95"/>
        <v>1</v>
      </c>
      <c r="AB113" s="51">
        <f t="shared" si="96"/>
        <v>40.239000000000004</v>
      </c>
      <c r="AC113" s="6">
        <v>17.2</v>
      </c>
      <c r="AD113" s="143"/>
      <c r="AE113" s="4">
        <v>30</v>
      </c>
      <c r="AF113" s="4">
        <v>1.6</v>
      </c>
      <c r="AG113" s="141">
        <v>29</v>
      </c>
      <c r="AH113" s="141">
        <v>520</v>
      </c>
      <c r="AI113" s="144">
        <f t="shared" si="98"/>
        <v>530.505</v>
      </c>
      <c r="AJ113" s="141">
        <v>80</v>
      </c>
      <c r="AK113" s="142">
        <f t="shared" si="99"/>
        <v>1</v>
      </c>
      <c r="AL113" s="143">
        <f t="shared" si="100"/>
        <v>0.6666666666666666</v>
      </c>
      <c r="AM113" s="143">
        <f t="shared" si="101"/>
        <v>637.6726666666667</v>
      </c>
      <c r="AN113" s="290">
        <f t="shared" si="102"/>
        <v>742.707</v>
      </c>
      <c r="AO113" s="23">
        <f t="shared" si="103"/>
        <v>2.3209593749999997</v>
      </c>
      <c r="AP113" s="86">
        <f t="shared" si="104"/>
        <v>1.8567675</v>
      </c>
      <c r="AQ113" s="443" t="str">
        <f t="shared" si="105"/>
        <v>OK</v>
      </c>
      <c r="AR113" s="444">
        <f t="shared" si="106"/>
        <v>10.255</v>
      </c>
      <c r="AS113" s="145">
        <f t="shared" si="107"/>
        <v>0.8545833333333334</v>
      </c>
      <c r="AT113" s="143">
        <f t="shared" si="108"/>
        <v>0.6666666666666666</v>
      </c>
      <c r="AU113" s="143">
        <f t="shared" si="109"/>
        <v>0.05555555555555555</v>
      </c>
      <c r="AV113" s="141">
        <v>30.8</v>
      </c>
      <c r="AW113" s="445">
        <f t="shared" si="110"/>
        <v>0.032046875</v>
      </c>
      <c r="AX113" s="446"/>
      <c r="AY113" s="447">
        <v>0</v>
      </c>
      <c r="AZ113" s="465"/>
      <c r="BA113" s="141">
        <v>30.8</v>
      </c>
      <c r="BB113" s="449">
        <f t="shared" si="112"/>
        <v>0.00016145425156739813</v>
      </c>
      <c r="BC113" s="445">
        <f t="shared" si="113"/>
        <v>1.0495969547693685E-05</v>
      </c>
      <c r="BD113" s="102">
        <f t="shared" si="114"/>
        <v>0.15000000000000002</v>
      </c>
      <c r="BE113" s="450" t="str">
        <f t="shared" si="115"/>
        <v>OK</v>
      </c>
      <c r="BF113" s="450" t="str">
        <f t="shared" si="116"/>
        <v>OK</v>
      </c>
      <c r="BG113" s="8" t="s">
        <v>239</v>
      </c>
    </row>
    <row r="114" spans="2:59" ht="12" thickBot="1">
      <c r="B114" s="165">
        <v>1</v>
      </c>
      <c r="C114" s="504">
        <f t="shared" si="89"/>
        <v>0.05</v>
      </c>
      <c r="D114" s="54"/>
      <c r="E114" s="268" t="s">
        <v>178</v>
      </c>
      <c r="F114" s="304" t="s">
        <v>229</v>
      </c>
      <c r="G114" s="115" t="s">
        <v>236</v>
      </c>
      <c r="H114" s="153">
        <v>10</v>
      </c>
      <c r="I114" s="153"/>
      <c r="J114" s="100">
        <v>2.96</v>
      </c>
      <c r="K114" s="100">
        <v>7.89</v>
      </c>
      <c r="L114" s="116">
        <v>0.17</v>
      </c>
      <c r="M114" s="100"/>
      <c r="N114" s="156"/>
      <c r="O114" s="158" t="str">
        <f t="shared" si="90"/>
        <v>NO</v>
      </c>
      <c r="P114" s="109">
        <v>50</v>
      </c>
      <c r="Q114" s="95">
        <v>1.5</v>
      </c>
      <c r="R114" s="109">
        <v>4</v>
      </c>
      <c r="S114" s="100">
        <v>4</v>
      </c>
      <c r="T114" s="109">
        <v>115</v>
      </c>
      <c r="U114" s="108">
        <v>0.1</v>
      </c>
      <c r="V114" s="100">
        <v>5</v>
      </c>
      <c r="W114" s="406"/>
      <c r="X114" s="461" t="s">
        <v>237</v>
      </c>
      <c r="Y114" s="370" t="s">
        <v>238</v>
      </c>
      <c r="Z114" s="462">
        <v>28.5</v>
      </c>
      <c r="AA114" s="164">
        <f t="shared" si="95"/>
        <v>1</v>
      </c>
      <c r="AB114" s="463">
        <f t="shared" si="96"/>
        <v>40.239000000000004</v>
      </c>
      <c r="AC114" s="95">
        <v>17.2</v>
      </c>
      <c r="AD114" s="106"/>
      <c r="AE114" s="109">
        <v>30</v>
      </c>
      <c r="AF114" s="109">
        <v>1.6</v>
      </c>
      <c r="AG114" s="108">
        <v>29</v>
      </c>
      <c r="AH114" s="108">
        <v>520</v>
      </c>
      <c r="AI114" s="133">
        <f t="shared" si="98"/>
        <v>530.505</v>
      </c>
      <c r="AJ114" s="108">
        <v>80</v>
      </c>
      <c r="AK114" s="107">
        <f t="shared" si="99"/>
        <v>1</v>
      </c>
      <c r="AL114" s="106">
        <f t="shared" si="100"/>
        <v>0.6666666666666666</v>
      </c>
      <c r="AM114" s="106">
        <f t="shared" si="101"/>
        <v>637.6726666666667</v>
      </c>
      <c r="AN114" s="106">
        <f t="shared" si="102"/>
        <v>742.707</v>
      </c>
      <c r="AO114" s="148">
        <f t="shared" si="103"/>
        <v>2.3209593749999997</v>
      </c>
      <c r="AP114" s="129">
        <f t="shared" si="104"/>
        <v>1.8567675</v>
      </c>
      <c r="AQ114" s="316" t="str">
        <f t="shared" si="105"/>
        <v>OK</v>
      </c>
      <c r="AR114" s="104">
        <f t="shared" si="106"/>
        <v>10.255</v>
      </c>
      <c r="AS114" s="312">
        <f t="shared" si="107"/>
        <v>0.8545833333333334</v>
      </c>
      <c r="AT114" s="106">
        <f t="shared" si="108"/>
        <v>0.6666666666666666</v>
      </c>
      <c r="AU114" s="106">
        <f t="shared" si="109"/>
        <v>0.05555555555555555</v>
      </c>
      <c r="AV114" s="108">
        <v>30.8</v>
      </c>
      <c r="AW114" s="111">
        <f t="shared" si="110"/>
        <v>0.032046875</v>
      </c>
      <c r="AX114" s="165"/>
      <c r="AY114" s="127">
        <v>0</v>
      </c>
      <c r="AZ114" s="240"/>
      <c r="BA114" s="108">
        <v>30.8</v>
      </c>
      <c r="BB114" s="314">
        <f t="shared" si="112"/>
        <v>0.00016145425156739813</v>
      </c>
      <c r="BC114" s="111">
        <f t="shared" si="113"/>
        <v>1.0495969547693685E-05</v>
      </c>
      <c r="BD114" s="113">
        <f t="shared" si="114"/>
        <v>0.15000000000000002</v>
      </c>
      <c r="BE114" s="92" t="str">
        <f t="shared" si="115"/>
        <v>OK</v>
      </c>
      <c r="BF114" s="92" t="str">
        <f t="shared" si="116"/>
        <v>OK</v>
      </c>
      <c r="BG114" s="8" t="s">
        <v>239</v>
      </c>
    </row>
    <row r="115" spans="2:3" ht="11.25">
      <c r="B115" s="13"/>
      <c r="C115" s="318"/>
    </row>
    <row r="116" spans="2:3" ht="11.25">
      <c r="B116" s="13"/>
      <c r="C116" s="318"/>
    </row>
    <row r="117" spans="2:3" ht="11.25">
      <c r="B117" s="13"/>
      <c r="C117" s="318"/>
    </row>
    <row r="118" spans="2:3" ht="11.25">
      <c r="B118" s="13"/>
      <c r="C118" s="318"/>
    </row>
    <row r="121" ht="11.25">
      <c r="B121" s="13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21"/>
  <sheetViews>
    <sheetView workbookViewId="0" topLeftCell="A7">
      <selection activeCell="AW41" sqref="AW41"/>
    </sheetView>
  </sheetViews>
  <sheetFormatPr defaultColWidth="9.140625" defaultRowHeight="12.75"/>
  <cols>
    <col min="1" max="1" width="1.1484375" style="8" customWidth="1"/>
    <col min="2" max="2" width="6.28125" style="8" customWidth="1"/>
    <col min="3" max="3" width="6.28125" style="494" customWidth="1"/>
    <col min="4" max="4" width="0.71875" style="8" customWidth="1"/>
    <col min="5" max="5" width="7.421875" style="75" customWidth="1"/>
    <col min="6" max="6" width="5.28125" style="75" customWidth="1"/>
    <col min="7" max="7" width="5.140625" style="8" customWidth="1"/>
    <col min="8" max="8" width="5.8515625" style="8" customWidth="1"/>
    <col min="9" max="9" width="5.00390625" style="8" bestFit="1" customWidth="1"/>
    <col min="10" max="10" width="5.421875" style="9" bestFit="1" customWidth="1"/>
    <col min="11" max="11" width="5.00390625" style="8" bestFit="1" customWidth="1"/>
    <col min="12" max="13" width="4.8515625" style="8" bestFit="1" customWidth="1"/>
    <col min="14" max="14" width="2.8515625" style="8" bestFit="1" customWidth="1"/>
    <col min="15" max="15" width="4.7109375" style="8" bestFit="1" customWidth="1"/>
    <col min="16" max="16" width="5.8515625" style="8" bestFit="1" customWidth="1"/>
    <col min="17" max="17" width="5.57421875" style="8" bestFit="1" customWidth="1"/>
    <col min="18" max="18" width="5.57421875" style="8" customWidth="1"/>
    <col min="19" max="19" width="5.8515625" style="8" bestFit="1" customWidth="1"/>
    <col min="20" max="20" width="5.28125" style="8" customWidth="1"/>
    <col min="21" max="21" width="5.57421875" style="8" bestFit="1" customWidth="1"/>
    <col min="22" max="22" width="5.7109375" style="8" bestFit="1" customWidth="1"/>
    <col min="23" max="23" width="5.140625" style="8" bestFit="1" customWidth="1"/>
    <col min="24" max="24" width="6.7109375" style="8" bestFit="1" customWidth="1"/>
    <col min="25" max="25" width="4.8515625" style="8" bestFit="1" customWidth="1"/>
    <col min="26" max="26" width="5.7109375" style="8" bestFit="1" customWidth="1"/>
    <col min="27" max="27" width="7.57421875" style="8" customWidth="1"/>
    <col min="28" max="28" width="4.8515625" style="8" bestFit="1" customWidth="1"/>
    <col min="29" max="29" width="6.7109375" style="8" bestFit="1" customWidth="1"/>
    <col min="30" max="30" width="5.7109375" style="8" bestFit="1" customWidth="1"/>
    <col min="31" max="32" width="6.57421875" style="8" bestFit="1" customWidth="1"/>
    <col min="33" max="33" width="4.421875" style="8" bestFit="1" customWidth="1"/>
    <col min="34" max="34" width="4.8515625" style="8" bestFit="1" customWidth="1"/>
    <col min="35" max="35" width="5.7109375" style="8" bestFit="1" customWidth="1"/>
    <col min="36" max="37" width="6.57421875" style="8" bestFit="1" customWidth="1"/>
    <col min="38" max="38" width="5.7109375" style="8" bestFit="1" customWidth="1"/>
    <col min="39" max="41" width="6.421875" style="8" bestFit="1" customWidth="1"/>
    <col min="42" max="43" width="7.421875" style="8" bestFit="1" customWidth="1"/>
    <col min="44" max="44" width="5.7109375" style="8" bestFit="1" customWidth="1"/>
    <col min="45" max="45" width="6.57421875" style="8" bestFit="1" customWidth="1"/>
    <col min="46" max="46" width="5.7109375" style="8" bestFit="1" customWidth="1"/>
    <col min="47" max="49" width="4.8515625" style="8" bestFit="1" customWidth="1"/>
    <col min="50" max="50" width="6.28125" style="8" bestFit="1" customWidth="1"/>
    <col min="51" max="51" width="5.28125" style="8" bestFit="1" customWidth="1"/>
    <col min="52" max="52" width="5.7109375" style="8" bestFit="1" customWidth="1"/>
    <col min="53" max="53" width="6.28125" style="8" bestFit="1" customWidth="1"/>
    <col min="54" max="54" width="7.421875" style="8" bestFit="1" customWidth="1"/>
    <col min="55" max="55" width="5.140625" style="8" bestFit="1" customWidth="1"/>
    <col min="56" max="56" width="5.00390625" style="8" bestFit="1" customWidth="1"/>
    <col min="57" max="57" width="5.7109375" style="8" bestFit="1" customWidth="1"/>
    <col min="58" max="58" width="5.140625" style="8" bestFit="1" customWidth="1"/>
    <col min="59" max="59" width="4.8515625" style="8" bestFit="1" customWidth="1"/>
    <col min="60" max="60" width="5.7109375" style="8" bestFit="1" customWidth="1"/>
    <col min="61" max="61" width="4.421875" style="8" bestFit="1" customWidth="1"/>
    <col min="62" max="62" width="3.00390625" style="8" bestFit="1" customWidth="1"/>
    <col min="63" max="63" width="4.8515625" style="8" bestFit="1" customWidth="1"/>
    <col min="64" max="64" width="6.28125" style="8" bestFit="1" customWidth="1"/>
    <col min="65" max="65" width="5.28125" style="8" bestFit="1" customWidth="1"/>
    <col min="66" max="66" width="4.421875" style="8" bestFit="1" customWidth="1"/>
    <col min="67" max="67" width="5.00390625" style="8" bestFit="1" customWidth="1"/>
    <col min="68" max="69" width="5.140625" style="8" bestFit="1" customWidth="1"/>
    <col min="70" max="16384" width="9.140625" style="8" customWidth="1"/>
  </cols>
  <sheetData>
    <row r="1" spans="18:22" ht="3.75" customHeight="1">
      <c r="R1" s="13"/>
      <c r="S1" s="13"/>
      <c r="T1" s="13"/>
      <c r="U1" s="13"/>
      <c r="V1" s="13"/>
    </row>
    <row r="2" spans="5:22" ht="20.25">
      <c r="E2" s="96" t="s">
        <v>64</v>
      </c>
      <c r="V2" s="13"/>
    </row>
    <row r="3" spans="5:16" ht="11.25">
      <c r="E3" s="53" t="s">
        <v>55</v>
      </c>
      <c r="O3" s="241"/>
      <c r="P3" s="13"/>
    </row>
    <row r="4" spans="15:20" ht="11.25" customHeight="1">
      <c r="O4" s="283"/>
      <c r="P4" s="13"/>
      <c r="R4" s="53" t="s">
        <v>142</v>
      </c>
      <c r="S4" s="75"/>
      <c r="T4" s="97" t="s">
        <v>143</v>
      </c>
    </row>
    <row r="5" spans="5:20" ht="11.25" customHeight="1">
      <c r="E5" s="98" t="s">
        <v>77</v>
      </c>
      <c r="F5" s="97">
        <v>15</v>
      </c>
      <c r="G5" s="8" t="s">
        <v>66</v>
      </c>
      <c r="I5" s="9"/>
      <c r="J5" s="8"/>
      <c r="O5" s="241"/>
      <c r="P5" s="75"/>
      <c r="R5" s="75"/>
      <c r="S5" s="75"/>
      <c r="T5" s="75" t="s">
        <v>144</v>
      </c>
    </row>
    <row r="6" spans="6:19" ht="11.25">
      <c r="F6" s="75" t="s">
        <v>65</v>
      </c>
      <c r="I6" s="9"/>
      <c r="J6" s="8"/>
      <c r="P6" s="281"/>
      <c r="R6" s="75"/>
      <c r="S6" s="75"/>
    </row>
    <row r="7" spans="9:21" ht="11.25">
      <c r="I7" s="9"/>
      <c r="J7" s="8"/>
      <c r="R7" s="53" t="s">
        <v>145</v>
      </c>
      <c r="S7" s="75"/>
      <c r="T7" s="53" t="s">
        <v>146</v>
      </c>
      <c r="U7" s="75"/>
    </row>
    <row r="8" spans="5:21" ht="11.25">
      <c r="E8" s="75" t="s">
        <v>68</v>
      </c>
      <c r="F8" s="75">
        <v>2</v>
      </c>
      <c r="G8" s="8" t="s">
        <v>151</v>
      </c>
      <c r="R8" s="53" t="s">
        <v>147</v>
      </c>
      <c r="S8" s="75"/>
      <c r="T8" s="53" t="s">
        <v>148</v>
      </c>
      <c r="U8" s="75"/>
    </row>
    <row r="9" spans="15:22" ht="11.25">
      <c r="O9" s="283"/>
      <c r="R9" s="53" t="s">
        <v>149</v>
      </c>
      <c r="S9" s="75"/>
      <c r="T9" s="53" t="s">
        <v>150</v>
      </c>
      <c r="U9" s="75"/>
      <c r="V9" s="13"/>
    </row>
    <row r="10" spans="5:22" ht="11.25">
      <c r="E10" s="53" t="s">
        <v>182</v>
      </c>
      <c r="O10" s="283"/>
      <c r="T10" s="13"/>
      <c r="U10" s="13"/>
      <c r="V10" s="13"/>
    </row>
    <row r="11" spans="5:22" ht="11.25">
      <c r="E11" s="53" t="s">
        <v>181</v>
      </c>
      <c r="O11" s="283"/>
      <c r="R11" s="8" t="s">
        <v>261</v>
      </c>
      <c r="T11" s="13"/>
      <c r="U11" s="13"/>
      <c r="V11" s="13"/>
    </row>
    <row r="12" spans="5:22" ht="11.25">
      <c r="E12" s="53" t="s">
        <v>179</v>
      </c>
      <c r="Q12" s="13"/>
      <c r="R12" s="318">
        <f>SUM(C:C)</f>
        <v>53.791000000000004</v>
      </c>
      <c r="S12" s="13" t="s">
        <v>35</v>
      </c>
      <c r="U12" s="13"/>
      <c r="V12" s="13"/>
    </row>
    <row r="13" spans="5:22" ht="11.25">
      <c r="E13" s="53" t="s">
        <v>180</v>
      </c>
      <c r="Q13" s="13"/>
      <c r="R13" s="13"/>
      <c r="S13" s="13"/>
      <c r="U13" s="13"/>
      <c r="V13" s="13"/>
    </row>
    <row r="14" spans="5:22" ht="11.25">
      <c r="E14" s="53" t="s">
        <v>80</v>
      </c>
      <c r="F14" s="8"/>
      <c r="J14" s="8"/>
      <c r="Q14" s="13"/>
      <c r="R14" s="13" t="s">
        <v>262</v>
      </c>
      <c r="S14" s="13"/>
      <c r="U14" s="13"/>
      <c r="V14" s="13"/>
    </row>
    <row r="15" spans="5:22" ht="11.25">
      <c r="E15" s="13"/>
      <c r="F15" s="64"/>
      <c r="H15" s="64" t="s">
        <v>111</v>
      </c>
      <c r="I15" s="64"/>
      <c r="J15" s="13"/>
      <c r="Q15" s="13"/>
      <c r="R15" s="13">
        <f>SUM(B:B)</f>
        <v>106</v>
      </c>
      <c r="S15" s="13"/>
      <c r="U15" s="13"/>
      <c r="V15" s="13"/>
    </row>
    <row r="16" spans="5:22" ht="12" thickBot="1">
      <c r="E16" s="10"/>
      <c r="F16" s="279" t="s">
        <v>121</v>
      </c>
      <c r="G16" s="279"/>
      <c r="H16" s="279"/>
      <c r="I16" s="280" t="s">
        <v>122</v>
      </c>
      <c r="J16" s="167"/>
      <c r="Q16" s="13"/>
      <c r="R16" s="13"/>
      <c r="S16" s="13"/>
      <c r="U16" s="13"/>
      <c r="V16" s="13"/>
    </row>
    <row r="17" spans="5:22" ht="12" thickTop="1">
      <c r="E17" s="8"/>
      <c r="F17" s="98" t="s">
        <v>123</v>
      </c>
      <c r="H17" s="14" t="s">
        <v>123</v>
      </c>
      <c r="I17" s="167"/>
      <c r="J17" s="167"/>
      <c r="Q17" s="13"/>
      <c r="R17" s="13"/>
      <c r="S17" s="13"/>
      <c r="U17" s="13"/>
      <c r="V17" s="13"/>
    </row>
    <row r="18" spans="5:22" ht="11.25">
      <c r="E18" s="276"/>
      <c r="G18" s="98" t="s">
        <v>21</v>
      </c>
      <c r="I18" s="269"/>
      <c r="J18" s="167"/>
      <c r="Q18" s="13"/>
      <c r="R18" s="13"/>
      <c r="S18" s="13"/>
      <c r="U18" s="13"/>
      <c r="V18" s="13"/>
    </row>
    <row r="19" spans="5:22" ht="11.25">
      <c r="E19" s="276"/>
      <c r="F19" s="8"/>
      <c r="H19" s="13"/>
      <c r="I19" s="10"/>
      <c r="J19" s="13"/>
      <c r="Q19" s="13"/>
      <c r="R19" s="13"/>
      <c r="S19" s="13"/>
      <c r="U19" s="13"/>
      <c r="V19" s="13"/>
    </row>
    <row r="20" spans="2:22" ht="12" thickBot="1">
      <c r="B20" s="36"/>
      <c r="C20" s="495"/>
      <c r="E20" s="53"/>
      <c r="Q20" s="13"/>
      <c r="R20" s="13"/>
      <c r="S20" s="13"/>
      <c r="U20" s="13"/>
      <c r="V20" s="13"/>
    </row>
    <row r="21" spans="2:55" ht="12" thickBot="1">
      <c r="B21" s="493"/>
      <c r="C21" s="496"/>
      <c r="D21" s="54"/>
      <c r="E21" s="121" t="s">
        <v>152</v>
      </c>
      <c r="F21" s="94"/>
      <c r="G21" s="99"/>
      <c r="H21" s="99"/>
      <c r="I21" s="99"/>
      <c r="J21" s="101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22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22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122"/>
    </row>
    <row r="22" spans="2:55" ht="11.25">
      <c r="B22" s="446" t="s">
        <v>244</v>
      </c>
      <c r="C22" s="497" t="s">
        <v>56</v>
      </c>
      <c r="D22" s="54"/>
      <c r="E22" s="76" t="s">
        <v>124</v>
      </c>
      <c r="F22" s="56" t="s">
        <v>124</v>
      </c>
      <c r="G22" s="6" t="s">
        <v>58</v>
      </c>
      <c r="H22" s="6"/>
      <c r="I22" s="6"/>
      <c r="J22" s="6"/>
      <c r="K22" s="6"/>
      <c r="L22" s="3"/>
      <c r="M22" s="38" t="s">
        <v>34</v>
      </c>
      <c r="N22" s="70"/>
      <c r="O22" s="26" t="s">
        <v>61</v>
      </c>
      <c r="P22" s="50"/>
      <c r="Q22" s="5" t="s">
        <v>25</v>
      </c>
      <c r="R22" s="4"/>
      <c r="S22" s="4"/>
      <c r="T22" s="6" t="s">
        <v>125</v>
      </c>
      <c r="U22" s="7"/>
      <c r="V22" s="54"/>
      <c r="W22" s="93"/>
      <c r="X22" s="14" t="s">
        <v>17</v>
      </c>
      <c r="Y22" s="16"/>
      <c r="Z22" s="161" t="s">
        <v>126</v>
      </c>
      <c r="AA22" s="42" t="s">
        <v>126</v>
      </c>
      <c r="AB22" s="15" t="s">
        <v>126</v>
      </c>
      <c r="AC22" s="15" t="s">
        <v>126</v>
      </c>
      <c r="AD22" s="40" t="s">
        <v>126</v>
      </c>
      <c r="AE22" s="42" t="s">
        <v>127</v>
      </c>
      <c r="AF22" s="42" t="s">
        <v>127</v>
      </c>
      <c r="AG22" s="42" t="s">
        <v>127</v>
      </c>
      <c r="AH22" s="42" t="s">
        <v>127</v>
      </c>
      <c r="AI22" s="17" t="s">
        <v>127</v>
      </c>
      <c r="AJ22" s="41" t="s">
        <v>127</v>
      </c>
      <c r="AK22" s="161" t="s">
        <v>128</v>
      </c>
      <c r="AL22" s="40" t="s">
        <v>129</v>
      </c>
      <c r="AM22" s="161" t="s">
        <v>8</v>
      </c>
      <c r="AN22" s="10"/>
      <c r="AO22" s="16"/>
      <c r="AP22" s="41" t="s">
        <v>50</v>
      </c>
      <c r="AQ22" s="40" t="s">
        <v>126</v>
      </c>
      <c r="AR22" s="42" t="s">
        <v>127</v>
      </c>
      <c r="AS22" s="42" t="s">
        <v>34</v>
      </c>
      <c r="AT22" s="17" t="s">
        <v>13</v>
      </c>
      <c r="AU22" s="40" t="s">
        <v>34</v>
      </c>
      <c r="AV22" s="10"/>
      <c r="AW22" s="13"/>
      <c r="AX22" s="17" t="s">
        <v>29</v>
      </c>
      <c r="AY22" s="42" t="s">
        <v>13</v>
      </c>
      <c r="AZ22" s="17"/>
      <c r="BA22" s="54"/>
      <c r="BB22" s="58" t="s">
        <v>7</v>
      </c>
      <c r="BC22" s="44" t="s">
        <v>8</v>
      </c>
    </row>
    <row r="23" spans="2:55" ht="11.25">
      <c r="B23" s="93"/>
      <c r="C23" s="498"/>
      <c r="D23" s="54"/>
      <c r="E23" s="76"/>
      <c r="F23" s="44"/>
      <c r="G23" s="64"/>
      <c r="H23" s="64"/>
      <c r="I23" s="64"/>
      <c r="J23" s="64"/>
      <c r="K23" s="64"/>
      <c r="L23" s="69"/>
      <c r="M23" s="14" t="s">
        <v>1</v>
      </c>
      <c r="N23" s="71"/>
      <c r="O23" s="72" t="s">
        <v>62</v>
      </c>
      <c r="P23" s="72" t="s">
        <v>63</v>
      </c>
      <c r="Q23" s="12" t="s">
        <v>26</v>
      </c>
      <c r="R23" s="11"/>
      <c r="S23" s="11"/>
      <c r="T23" s="14" t="s">
        <v>130</v>
      </c>
      <c r="U23" s="16"/>
      <c r="V23" s="41" t="s">
        <v>51</v>
      </c>
      <c r="W23" s="40" t="s">
        <v>52</v>
      </c>
      <c r="X23" s="14" t="s">
        <v>18</v>
      </c>
      <c r="Y23" s="17" t="s">
        <v>30</v>
      </c>
      <c r="Z23" s="161" t="s">
        <v>131</v>
      </c>
      <c r="AA23" s="42" t="s">
        <v>132</v>
      </c>
      <c r="AB23" s="15" t="s">
        <v>72</v>
      </c>
      <c r="AC23" s="15" t="s">
        <v>61</v>
      </c>
      <c r="AD23" s="40" t="s">
        <v>62</v>
      </c>
      <c r="AE23" s="42" t="s">
        <v>133</v>
      </c>
      <c r="AF23" s="42" t="s">
        <v>132</v>
      </c>
      <c r="AG23" s="42" t="s">
        <v>72</v>
      </c>
      <c r="AH23" s="42" t="s">
        <v>61</v>
      </c>
      <c r="AI23" s="17" t="s">
        <v>87</v>
      </c>
      <c r="AJ23" s="41" t="s">
        <v>62</v>
      </c>
      <c r="AK23" s="161" t="s">
        <v>131</v>
      </c>
      <c r="AL23" s="40" t="s">
        <v>131</v>
      </c>
      <c r="AM23" s="161" t="s">
        <v>67</v>
      </c>
      <c r="AN23" s="42" t="s">
        <v>14</v>
      </c>
      <c r="AO23" s="17" t="s">
        <v>36</v>
      </c>
      <c r="AP23" s="44" t="s">
        <v>37</v>
      </c>
      <c r="AQ23" s="40" t="s">
        <v>85</v>
      </c>
      <c r="AR23" s="42" t="s">
        <v>85</v>
      </c>
      <c r="AS23" s="15" t="s">
        <v>33</v>
      </c>
      <c r="AT23" s="41" t="s">
        <v>14</v>
      </c>
      <c r="AU23" s="41" t="s">
        <v>51</v>
      </c>
      <c r="AV23" s="15" t="s">
        <v>9</v>
      </c>
      <c r="AW23" s="14" t="s">
        <v>10</v>
      </c>
      <c r="AX23" s="17" t="s">
        <v>46</v>
      </c>
      <c r="AY23" s="42" t="s">
        <v>41</v>
      </c>
      <c r="AZ23" s="17" t="s">
        <v>42</v>
      </c>
      <c r="BA23" s="57" t="s">
        <v>134</v>
      </c>
      <c r="BB23" s="58" t="s">
        <v>39</v>
      </c>
      <c r="BC23" s="44" t="s">
        <v>39</v>
      </c>
    </row>
    <row r="24" spans="2:55" ht="11.25">
      <c r="B24" s="93"/>
      <c r="C24" s="498"/>
      <c r="D24" s="54"/>
      <c r="E24" s="76"/>
      <c r="F24" s="44"/>
      <c r="G24" s="73" t="s">
        <v>59</v>
      </c>
      <c r="H24" s="10" t="s">
        <v>56</v>
      </c>
      <c r="I24" s="15" t="s">
        <v>47</v>
      </c>
      <c r="J24" s="15" t="s">
        <v>0</v>
      </c>
      <c r="K24" s="15" t="s">
        <v>2</v>
      </c>
      <c r="L24" s="15" t="s">
        <v>3</v>
      </c>
      <c r="M24" s="14" t="s">
        <v>19</v>
      </c>
      <c r="N24" s="15" t="s">
        <v>4</v>
      </c>
      <c r="O24" s="15" t="s">
        <v>19</v>
      </c>
      <c r="P24" s="15" t="s">
        <v>56</v>
      </c>
      <c r="Q24" s="12" t="s">
        <v>16</v>
      </c>
      <c r="R24" s="15" t="s">
        <v>21</v>
      </c>
      <c r="S24" s="15" t="s">
        <v>48</v>
      </c>
      <c r="T24" s="14" t="s">
        <v>49</v>
      </c>
      <c r="U24" s="17" t="s">
        <v>5</v>
      </c>
      <c r="V24" s="41" t="s">
        <v>53</v>
      </c>
      <c r="W24" s="40" t="s">
        <v>135</v>
      </c>
      <c r="X24" s="14" t="s">
        <v>32</v>
      </c>
      <c r="Y24" s="17" t="s">
        <v>31</v>
      </c>
      <c r="Z24" s="161"/>
      <c r="AA24" s="42" t="s">
        <v>71</v>
      </c>
      <c r="AB24" s="15"/>
      <c r="AC24" s="15" t="s">
        <v>7</v>
      </c>
      <c r="AD24" s="40"/>
      <c r="AE24" s="42"/>
      <c r="AF24" s="42" t="s">
        <v>71</v>
      </c>
      <c r="AG24" s="42"/>
      <c r="AH24" s="42"/>
      <c r="AI24" s="17" t="s">
        <v>86</v>
      </c>
      <c r="AJ24" s="41"/>
      <c r="AK24" s="161"/>
      <c r="AL24" s="40"/>
      <c r="AM24" s="161" t="s">
        <v>27</v>
      </c>
      <c r="AN24" s="42"/>
      <c r="AO24" s="17"/>
      <c r="AP24" s="41" t="s">
        <v>54</v>
      </c>
      <c r="AQ24" s="40"/>
      <c r="AR24" s="42"/>
      <c r="AS24" s="11"/>
      <c r="AT24" s="16"/>
      <c r="AU24" s="54"/>
      <c r="AV24" s="10"/>
      <c r="AW24" s="11"/>
      <c r="AX24" s="16"/>
      <c r="AY24" s="10"/>
      <c r="AZ24" s="16"/>
      <c r="BA24" s="93"/>
      <c r="BB24" s="93"/>
      <c r="BC24" s="93"/>
    </row>
    <row r="25" spans="2:55" ht="12" thickBot="1">
      <c r="B25" s="381"/>
      <c r="C25" s="499" t="s">
        <v>246</v>
      </c>
      <c r="D25" s="54"/>
      <c r="E25" s="77"/>
      <c r="F25" s="62"/>
      <c r="G25" s="18" t="s">
        <v>60</v>
      </c>
      <c r="H25" s="18" t="s">
        <v>11</v>
      </c>
      <c r="I25" s="1" t="s">
        <v>43</v>
      </c>
      <c r="J25" s="1" t="s">
        <v>40</v>
      </c>
      <c r="K25" s="1" t="s">
        <v>40</v>
      </c>
      <c r="L25" s="1" t="s">
        <v>44</v>
      </c>
      <c r="M25" s="20" t="s">
        <v>40</v>
      </c>
      <c r="N25" s="1" t="s">
        <v>44</v>
      </c>
      <c r="O25" s="1" t="s">
        <v>40</v>
      </c>
      <c r="P25" s="1" t="s">
        <v>57</v>
      </c>
      <c r="Q25" s="19" t="s">
        <v>40</v>
      </c>
      <c r="R25" s="1" t="s">
        <v>12</v>
      </c>
      <c r="S25" s="1" t="s">
        <v>40</v>
      </c>
      <c r="T25" s="20" t="s">
        <v>35</v>
      </c>
      <c r="U25" s="21" t="s">
        <v>40</v>
      </c>
      <c r="V25" s="46" t="s">
        <v>45</v>
      </c>
      <c r="W25" s="284" t="s">
        <v>35</v>
      </c>
      <c r="X25" s="20" t="s">
        <v>24</v>
      </c>
      <c r="Y25" s="21" t="s">
        <v>22</v>
      </c>
      <c r="Z25" s="285" t="s">
        <v>31</v>
      </c>
      <c r="AA25" s="2" t="s">
        <v>31</v>
      </c>
      <c r="AB25" s="1" t="s">
        <v>31</v>
      </c>
      <c r="AC25" s="1" t="s">
        <v>31</v>
      </c>
      <c r="AD25" s="284" t="s">
        <v>31</v>
      </c>
      <c r="AE25" s="2" t="s">
        <v>11</v>
      </c>
      <c r="AF25" s="2" t="s">
        <v>11</v>
      </c>
      <c r="AG25" s="2" t="s">
        <v>11</v>
      </c>
      <c r="AH25" s="2" t="s">
        <v>11</v>
      </c>
      <c r="AI25" s="21" t="s">
        <v>11</v>
      </c>
      <c r="AJ25" s="46" t="s">
        <v>11</v>
      </c>
      <c r="AK25" s="285" t="s">
        <v>31</v>
      </c>
      <c r="AL25" s="284" t="s">
        <v>31</v>
      </c>
      <c r="AM25" s="286"/>
      <c r="AN25" s="2" t="s">
        <v>45</v>
      </c>
      <c r="AO25" s="21" t="s">
        <v>35</v>
      </c>
      <c r="AP25" s="49" t="s">
        <v>23</v>
      </c>
      <c r="AQ25" s="284" t="s">
        <v>31</v>
      </c>
      <c r="AR25" s="2" t="s">
        <v>11</v>
      </c>
      <c r="AS25" s="47" t="s">
        <v>38</v>
      </c>
      <c r="AT25" s="46" t="s">
        <v>45</v>
      </c>
      <c r="AU25" s="46" t="s">
        <v>45</v>
      </c>
      <c r="AV25" s="1" t="s">
        <v>40</v>
      </c>
      <c r="AW25" s="1" t="s">
        <v>40</v>
      </c>
      <c r="AX25" s="49" t="s">
        <v>38</v>
      </c>
      <c r="AY25" s="2" t="s">
        <v>40</v>
      </c>
      <c r="AZ25" s="21" t="s">
        <v>40</v>
      </c>
      <c r="BA25" s="49" t="s">
        <v>40</v>
      </c>
      <c r="BB25" s="61" t="s">
        <v>23</v>
      </c>
      <c r="BC25" s="62" t="s">
        <v>23</v>
      </c>
    </row>
    <row r="26" spans="2:55" ht="12" thickBot="1">
      <c r="B26" s="381">
        <v>2</v>
      </c>
      <c r="C26" s="511">
        <f>B26*R26*$H26/1000</f>
        <v>4.96</v>
      </c>
      <c r="D26" s="54"/>
      <c r="E26" s="322" t="s">
        <v>136</v>
      </c>
      <c r="F26" s="323" t="s">
        <v>137</v>
      </c>
      <c r="G26" s="467" t="s">
        <v>138</v>
      </c>
      <c r="H26" s="324">
        <v>62</v>
      </c>
      <c r="I26" s="325">
        <v>18.2</v>
      </c>
      <c r="J26" s="325">
        <v>23.6</v>
      </c>
      <c r="K26" s="326">
        <v>0.395</v>
      </c>
      <c r="L26" s="327">
        <v>50</v>
      </c>
      <c r="M26" s="99">
        <v>1.5</v>
      </c>
      <c r="N26" s="327">
        <v>4</v>
      </c>
      <c r="O26" s="325">
        <v>4</v>
      </c>
      <c r="P26" s="327">
        <v>115</v>
      </c>
      <c r="Q26" s="328">
        <v>46.5</v>
      </c>
      <c r="R26" s="325">
        <v>40</v>
      </c>
      <c r="S26" s="329">
        <f>MIN((R26/4)*12,Q26)</f>
        <v>46.5</v>
      </c>
      <c r="T26" s="330">
        <f>0.85*N26*(O26-M26)*S26</f>
        <v>395.25</v>
      </c>
      <c r="U26" s="331">
        <f>O26-M26</f>
        <v>2.5</v>
      </c>
      <c r="V26" s="332">
        <v>869.6</v>
      </c>
      <c r="W26" s="333">
        <f>0.6*L26*J26*K26</f>
        <v>279.66</v>
      </c>
      <c r="X26" s="99">
        <v>17.2</v>
      </c>
      <c r="Y26" s="334">
        <f>(T26/X26)*2</f>
        <v>45.9593023255814</v>
      </c>
      <c r="Z26" s="335">
        <v>540</v>
      </c>
      <c r="AA26" s="328">
        <v>4050</v>
      </c>
      <c r="AB26" s="336">
        <v>216</v>
      </c>
      <c r="AC26" s="328">
        <v>3915</v>
      </c>
      <c r="AD26" s="337">
        <f>SUM(Z26:AC26)</f>
        <v>8721</v>
      </c>
      <c r="AE26" s="338">
        <f>H26</f>
        <v>62</v>
      </c>
      <c r="AF26" s="339">
        <v>217.5</v>
      </c>
      <c r="AG26" s="339">
        <v>11.6</v>
      </c>
      <c r="AH26" s="339">
        <v>210.3</v>
      </c>
      <c r="AI26" s="340">
        <v>520</v>
      </c>
      <c r="AJ26" s="341">
        <f>SUM(AF26:AI26)</f>
        <v>959.4</v>
      </c>
      <c r="AK26" s="342">
        <v>15525</v>
      </c>
      <c r="AL26" s="342">
        <v>833.75</v>
      </c>
      <c r="AM26" s="329" t="e">
        <f>IF(0.25+(15/($F$10*R26*(Q26/12))^0.5)&gt;0.5,IF(0.25+(15/($F$10*R26*(Q26/12))^0.5)&gt;1,1,0.25+(15/($F$10*R26*(Q26/12))^0.5)),0.5)</f>
        <v>#DIV/0!</v>
      </c>
      <c r="AN26" s="329">
        <f>(1.2*(((AJ26*R26*R26)/8000)+((AD26*R26)/4000)))+(1.6*(((AL26*R26*R26)/8000)+((AK26*R26)/4000)))</f>
        <v>850.108</v>
      </c>
      <c r="AO26" s="334">
        <f>(1.2*((AJ26*R26*0.0005)+(AD26/2000)))+(1.6*((AL26*R26*0.0005)+(AK26/2000)))</f>
        <v>67.3582</v>
      </c>
      <c r="AP26" s="343" t="str">
        <f>IF(AND(V26&gt;AN26,W26&gt;AO26),"OK","NG")</f>
        <v>OK</v>
      </c>
      <c r="AQ26" s="344">
        <f>Z26+AB26+AC26</f>
        <v>4671</v>
      </c>
      <c r="AR26" s="345">
        <f>AE26+AG26+AH26</f>
        <v>283.9</v>
      </c>
      <c r="AS26" s="328">
        <v>1350</v>
      </c>
      <c r="AT26" s="346">
        <f>(AQ26*R26*R26)/8000</f>
        <v>934.2</v>
      </c>
      <c r="AU26" s="347"/>
      <c r="AV26" s="348">
        <v>2.75</v>
      </c>
      <c r="AW26" s="349">
        <f>O26-U26/2</f>
        <v>2.75</v>
      </c>
      <c r="AX26" s="350">
        <v>2660</v>
      </c>
      <c r="AY26" s="351">
        <f>(5*((AR26/12))*((R26*12)^4))/(384*29000000*AS26)+((AQ26*((R26*12)^3))/(48*29000000*AS26))</f>
        <v>0.6925829885057471</v>
      </c>
      <c r="AZ26" s="346">
        <f>(5*((AL26/12))*((R26*12)^4))/(384*29000000*AX26)+((AK26*((R26*12)^3))/(48*29000000*AX26))</f>
        <v>1.08625356494685</v>
      </c>
      <c r="BA26" s="352">
        <f>(R26/400)*12</f>
        <v>1.2000000000000002</v>
      </c>
      <c r="BB26" s="353" t="str">
        <f>IF(AY26&gt;BA26,"NG","OK")</f>
        <v>OK</v>
      </c>
      <c r="BC26" s="343" t="str">
        <f>IF(AZ26&gt;BA26,"NG","OK")</f>
        <v>OK</v>
      </c>
    </row>
    <row r="27" spans="2:59" ht="11.25">
      <c r="B27" s="166"/>
      <c r="C27" s="501"/>
      <c r="D27" s="13"/>
      <c r="E27" s="281"/>
      <c r="F27" s="281"/>
      <c r="G27" s="281"/>
      <c r="H27" s="281"/>
      <c r="I27" s="317"/>
      <c r="J27" s="317"/>
      <c r="K27" s="318"/>
      <c r="L27" s="13"/>
      <c r="M27" s="13"/>
      <c r="N27" s="13"/>
      <c r="O27" s="317"/>
      <c r="P27" s="13"/>
      <c r="Q27" s="319"/>
      <c r="R27" s="317"/>
      <c r="S27" s="168"/>
      <c r="T27" s="170"/>
      <c r="U27" s="169"/>
      <c r="V27" s="241"/>
      <c r="W27" s="320" t="s">
        <v>140</v>
      </c>
      <c r="X27" s="172"/>
      <c r="Y27" s="167"/>
      <c r="Z27" s="172"/>
      <c r="AA27" s="172"/>
      <c r="AB27" s="13"/>
      <c r="AC27" s="13"/>
      <c r="AD27" s="9"/>
      <c r="AE27" s="173"/>
      <c r="AF27" s="173"/>
      <c r="AG27" s="173"/>
      <c r="AH27" s="173"/>
      <c r="AI27" s="173"/>
      <c r="AJ27" s="173"/>
      <c r="AK27" s="173"/>
      <c r="AL27" s="173"/>
      <c r="AM27" s="173"/>
      <c r="AN27" s="317"/>
      <c r="AO27" s="168"/>
      <c r="AP27" s="172"/>
      <c r="AQ27" s="166"/>
      <c r="AS27" s="172"/>
      <c r="AT27" s="172"/>
      <c r="AU27" s="172"/>
      <c r="AV27" s="172"/>
      <c r="AW27" s="172"/>
      <c r="AX27" s="317"/>
      <c r="AY27" s="13"/>
      <c r="AZ27" s="321" t="s">
        <v>141</v>
      </c>
      <c r="BA27" s="169"/>
      <c r="BB27" s="167"/>
      <c r="BC27" s="168"/>
      <c r="BD27" s="168"/>
      <c r="BE27" s="168"/>
      <c r="BF27" s="166"/>
      <c r="BG27" s="166"/>
    </row>
    <row r="28" spans="5:59" ht="12" thickBot="1">
      <c r="E28" s="276"/>
      <c r="F28" s="277" t="s">
        <v>120</v>
      </c>
      <c r="G28" s="278"/>
      <c r="H28" s="278"/>
      <c r="I28" s="279" t="s">
        <v>121</v>
      </c>
      <c r="J28" s="279"/>
      <c r="K28" s="280" t="s">
        <v>122</v>
      </c>
      <c r="L28" s="167"/>
      <c r="R28" s="241"/>
      <c r="U28" s="9"/>
      <c r="V28" s="9"/>
      <c r="AQ28" s="13"/>
      <c r="BG28" s="13"/>
    </row>
    <row r="29" spans="5:21" ht="12" thickTop="1">
      <c r="E29" s="241"/>
      <c r="H29" s="8" t="s">
        <v>21</v>
      </c>
      <c r="J29" s="281"/>
      <c r="K29" s="167"/>
      <c r="L29" s="167"/>
      <c r="R29" s="241"/>
      <c r="U29" s="9"/>
    </row>
    <row r="30" spans="5:21" ht="11.25">
      <c r="E30" s="276"/>
      <c r="F30" s="8"/>
      <c r="J30" s="13"/>
      <c r="K30" s="10"/>
      <c r="L30" s="13"/>
      <c r="M30" s="13"/>
      <c r="N30" s="13"/>
      <c r="O30" s="13"/>
      <c r="P30" s="13"/>
      <c r="Q30" s="13"/>
      <c r="R30" s="13"/>
      <c r="S30" s="13"/>
      <c r="T30" s="13"/>
      <c r="U30" s="319"/>
    </row>
    <row r="31" spans="2:58" ht="12" thickBot="1">
      <c r="B31" s="36"/>
      <c r="E31" s="411"/>
      <c r="F31" s="411"/>
      <c r="G31" s="36"/>
      <c r="H31" s="36"/>
      <c r="I31" s="36"/>
      <c r="J31" s="408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</row>
    <row r="32" spans="2:58" s="174" customFormat="1" ht="12" thickBot="1">
      <c r="B32" s="138"/>
      <c r="C32" s="502"/>
      <c r="D32" s="175"/>
      <c r="E32" s="416" t="s">
        <v>190</v>
      </c>
      <c r="F32" s="417" t="s">
        <v>155</v>
      </c>
      <c r="G32" s="177"/>
      <c r="H32" s="177"/>
      <c r="I32" s="177"/>
      <c r="J32" s="177"/>
      <c r="K32" s="389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415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Q32" s="415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415"/>
    </row>
    <row r="33" spans="2:58" ht="11.25">
      <c r="B33" s="446" t="s">
        <v>244</v>
      </c>
      <c r="C33" s="497" t="s">
        <v>56</v>
      </c>
      <c r="D33" s="54"/>
      <c r="E33" s="76" t="s">
        <v>124</v>
      </c>
      <c r="F33" s="56" t="s">
        <v>124</v>
      </c>
      <c r="G33" s="6" t="s">
        <v>58</v>
      </c>
      <c r="H33" s="6"/>
      <c r="I33" s="188"/>
      <c r="J33" s="6"/>
      <c r="K33" s="6"/>
      <c r="L33" s="6"/>
      <c r="M33" s="6"/>
      <c r="N33" s="6"/>
      <c r="O33" s="6"/>
      <c r="P33" s="3"/>
      <c r="Q33" s="38" t="s">
        <v>34</v>
      </c>
      <c r="R33" s="70"/>
      <c r="S33" s="26" t="s">
        <v>61</v>
      </c>
      <c r="T33" s="50"/>
      <c r="U33" s="5" t="s">
        <v>25</v>
      </c>
      <c r="V33" s="4"/>
      <c r="W33" s="4"/>
      <c r="X33" s="14" t="s">
        <v>49</v>
      </c>
      <c r="Y33" s="7"/>
      <c r="Z33" s="37"/>
      <c r="AA33" s="163" t="s">
        <v>96</v>
      </c>
      <c r="AB33" s="159"/>
      <c r="AC33" s="38" t="s">
        <v>17</v>
      </c>
      <c r="AD33" s="4"/>
      <c r="AE33" s="15" t="s">
        <v>7</v>
      </c>
      <c r="AF33" s="15" t="s">
        <v>7</v>
      </c>
      <c r="AG33" s="259" t="s">
        <v>7</v>
      </c>
      <c r="AH33" s="14" t="s">
        <v>7</v>
      </c>
      <c r="AI33" s="15" t="s">
        <v>7</v>
      </c>
      <c r="AJ33" s="45" t="s">
        <v>8</v>
      </c>
      <c r="AK33" s="98" t="s">
        <v>8</v>
      </c>
      <c r="AL33" s="43" t="s">
        <v>8</v>
      </c>
      <c r="AM33" s="43" t="s">
        <v>97</v>
      </c>
      <c r="AN33" s="12" t="s">
        <v>98</v>
      </c>
      <c r="AO33" s="3"/>
      <c r="AP33" s="7"/>
      <c r="AQ33" s="39" t="s">
        <v>50</v>
      </c>
      <c r="AR33" s="42" t="s">
        <v>7</v>
      </c>
      <c r="AS33" s="14" t="s">
        <v>7</v>
      </c>
      <c r="AT33" s="15" t="s">
        <v>8</v>
      </c>
      <c r="AU33" s="15" t="s">
        <v>8</v>
      </c>
      <c r="AV33" s="42" t="s">
        <v>34</v>
      </c>
      <c r="AW33" s="41" t="s">
        <v>14</v>
      </c>
      <c r="AX33" s="41" t="s">
        <v>51</v>
      </c>
      <c r="AY33" s="15" t="s">
        <v>9</v>
      </c>
      <c r="AZ33" s="15" t="s">
        <v>10</v>
      </c>
      <c r="BA33" s="17" t="s">
        <v>29</v>
      </c>
      <c r="BB33" s="42" t="s">
        <v>41</v>
      </c>
      <c r="BC33" s="41" t="s">
        <v>42</v>
      </c>
      <c r="BD33" s="57" t="s">
        <v>99</v>
      </c>
      <c r="BE33" s="55" t="s">
        <v>7</v>
      </c>
      <c r="BF33" s="56" t="s">
        <v>8</v>
      </c>
    </row>
    <row r="34" spans="2:58" ht="11.25">
      <c r="B34" s="93"/>
      <c r="C34" s="498"/>
      <c r="D34" s="54"/>
      <c r="E34" s="76"/>
      <c r="F34" s="44"/>
      <c r="G34" s="64"/>
      <c r="H34" s="64"/>
      <c r="I34" s="65"/>
      <c r="J34" s="64"/>
      <c r="K34" s="64"/>
      <c r="L34" s="64"/>
      <c r="M34" s="64"/>
      <c r="N34" s="64"/>
      <c r="O34" s="64"/>
      <c r="P34" s="69"/>
      <c r="Q34" s="14" t="s">
        <v>1</v>
      </c>
      <c r="R34" s="71"/>
      <c r="S34" s="72" t="s">
        <v>62</v>
      </c>
      <c r="T34" s="72" t="s">
        <v>63</v>
      </c>
      <c r="U34" s="12" t="s">
        <v>26</v>
      </c>
      <c r="V34" s="11"/>
      <c r="W34" s="11"/>
      <c r="Y34" s="16"/>
      <c r="Z34" s="41" t="s">
        <v>51</v>
      </c>
      <c r="AA34" s="160" t="s">
        <v>74</v>
      </c>
      <c r="AB34" s="41" t="s">
        <v>52</v>
      </c>
      <c r="AC34" s="14" t="s">
        <v>18</v>
      </c>
      <c r="AD34" s="15" t="s">
        <v>30</v>
      </c>
      <c r="AE34" s="15" t="s">
        <v>70</v>
      </c>
      <c r="AF34" s="15" t="s">
        <v>34</v>
      </c>
      <c r="AG34" s="15" t="s">
        <v>61</v>
      </c>
      <c r="AH34" s="98" t="s">
        <v>87</v>
      </c>
      <c r="AI34" s="15" t="s">
        <v>62</v>
      </c>
      <c r="AJ34" s="10"/>
      <c r="AK34" s="98" t="s">
        <v>67</v>
      </c>
      <c r="AL34" s="43" t="s">
        <v>81</v>
      </c>
      <c r="AM34" s="43" t="s">
        <v>15</v>
      </c>
      <c r="AN34" s="12"/>
      <c r="AO34" s="42" t="s">
        <v>14</v>
      </c>
      <c r="AP34" s="17" t="s">
        <v>36</v>
      </c>
      <c r="AQ34" s="44" t="s">
        <v>37</v>
      </c>
      <c r="AR34" s="42" t="s">
        <v>85</v>
      </c>
      <c r="AS34" s="13"/>
      <c r="AT34" s="11"/>
      <c r="AU34" s="11"/>
      <c r="AV34" s="42" t="s">
        <v>33</v>
      </c>
      <c r="AW34" s="17" t="s">
        <v>85</v>
      </c>
      <c r="AX34" s="40" t="s">
        <v>34</v>
      </c>
      <c r="AY34" s="10"/>
      <c r="AZ34" s="13"/>
      <c r="BA34" s="17" t="s">
        <v>46</v>
      </c>
      <c r="BB34" s="42" t="s">
        <v>13</v>
      </c>
      <c r="BC34" s="41"/>
      <c r="BD34" s="54"/>
      <c r="BE34" s="58" t="s">
        <v>39</v>
      </c>
      <c r="BF34" s="44" t="s">
        <v>39</v>
      </c>
    </row>
    <row r="35" spans="2:58" ht="11.25">
      <c r="B35" s="93"/>
      <c r="C35" s="498"/>
      <c r="D35" s="54"/>
      <c r="E35" s="76"/>
      <c r="F35" s="44"/>
      <c r="G35" s="73" t="s">
        <v>59</v>
      </c>
      <c r="H35" s="10" t="s">
        <v>56</v>
      </c>
      <c r="I35" s="269" t="s">
        <v>88</v>
      </c>
      <c r="J35" s="15" t="s">
        <v>47</v>
      </c>
      <c r="K35" s="15" t="s">
        <v>0</v>
      </c>
      <c r="L35" s="15" t="s">
        <v>2</v>
      </c>
      <c r="M35" s="15" t="s">
        <v>90</v>
      </c>
      <c r="N35" s="15" t="s">
        <v>91</v>
      </c>
      <c r="O35" s="15" t="s">
        <v>95</v>
      </c>
      <c r="P35" s="15" t="s">
        <v>3</v>
      </c>
      <c r="Q35" s="14" t="s">
        <v>19</v>
      </c>
      <c r="R35" s="15" t="s">
        <v>4</v>
      </c>
      <c r="S35" s="15" t="s">
        <v>19</v>
      </c>
      <c r="T35" s="15" t="s">
        <v>56</v>
      </c>
      <c r="U35" s="12" t="s">
        <v>16</v>
      </c>
      <c r="V35" s="15" t="s">
        <v>21</v>
      </c>
      <c r="W35" s="15" t="s">
        <v>48</v>
      </c>
      <c r="X35" s="14" t="s">
        <v>6</v>
      </c>
      <c r="Y35" s="17" t="s">
        <v>5</v>
      </c>
      <c r="Z35" s="41" t="s">
        <v>53</v>
      </c>
      <c r="AA35" s="161"/>
      <c r="AB35" s="41"/>
      <c r="AC35" s="14" t="s">
        <v>32</v>
      </c>
      <c r="AD35" s="15" t="s">
        <v>31</v>
      </c>
      <c r="AE35" s="15" t="s">
        <v>71</v>
      </c>
      <c r="AF35" s="15" t="s">
        <v>72</v>
      </c>
      <c r="AG35" s="15"/>
      <c r="AH35" s="98" t="s">
        <v>86</v>
      </c>
      <c r="AI35" s="15"/>
      <c r="AJ35" s="11"/>
      <c r="AK35" s="98" t="s">
        <v>27</v>
      </c>
      <c r="AL35" s="43" t="s">
        <v>82</v>
      </c>
      <c r="AM35" s="15" t="s">
        <v>83</v>
      </c>
      <c r="AN35" s="42" t="s">
        <v>83</v>
      </c>
      <c r="AO35" s="42"/>
      <c r="AP35" s="17"/>
      <c r="AQ35" s="41" t="s">
        <v>54</v>
      </c>
      <c r="AR35" s="134"/>
      <c r="AS35" s="11"/>
      <c r="AT35" s="11"/>
      <c r="AU35" s="11"/>
      <c r="AV35" s="11"/>
      <c r="AW35" s="16"/>
      <c r="AX35" s="40" t="s">
        <v>84</v>
      </c>
      <c r="AY35" s="10"/>
      <c r="AZ35" s="11"/>
      <c r="BA35" s="54"/>
      <c r="BB35" s="10"/>
      <c r="BC35" s="16"/>
      <c r="BD35" s="93"/>
      <c r="BE35" s="93"/>
      <c r="BF35" s="93"/>
    </row>
    <row r="36" spans="2:58" ht="12" thickBot="1">
      <c r="B36" s="381"/>
      <c r="C36" s="499" t="s">
        <v>246</v>
      </c>
      <c r="D36" s="54"/>
      <c r="E36" s="77"/>
      <c r="F36" s="62"/>
      <c r="G36" s="18" t="s">
        <v>60</v>
      </c>
      <c r="H36" s="18" t="s">
        <v>11</v>
      </c>
      <c r="I36" s="270"/>
      <c r="J36" s="1" t="s">
        <v>43</v>
      </c>
      <c r="K36" s="1" t="s">
        <v>40</v>
      </c>
      <c r="L36" s="1" t="s">
        <v>40</v>
      </c>
      <c r="M36" s="1"/>
      <c r="N36" s="1"/>
      <c r="O36" s="1"/>
      <c r="P36" s="1" t="s">
        <v>44</v>
      </c>
      <c r="Q36" s="20" t="s">
        <v>40</v>
      </c>
      <c r="R36" s="1" t="s">
        <v>44</v>
      </c>
      <c r="S36" s="1" t="s">
        <v>40</v>
      </c>
      <c r="T36" s="1" t="s">
        <v>57</v>
      </c>
      <c r="U36" s="19" t="s">
        <v>40</v>
      </c>
      <c r="V36" s="1" t="s">
        <v>12</v>
      </c>
      <c r="W36" s="1" t="s">
        <v>40</v>
      </c>
      <c r="X36" s="20" t="s">
        <v>35</v>
      </c>
      <c r="Y36" s="21" t="s">
        <v>40</v>
      </c>
      <c r="Z36" s="46" t="s">
        <v>45</v>
      </c>
      <c r="AA36" s="285"/>
      <c r="AB36" s="46" t="s">
        <v>35</v>
      </c>
      <c r="AC36" s="20" t="s">
        <v>24</v>
      </c>
      <c r="AD36" s="1" t="s">
        <v>22</v>
      </c>
      <c r="AE36" s="1" t="s">
        <v>28</v>
      </c>
      <c r="AF36" s="1" t="s">
        <v>28</v>
      </c>
      <c r="AG36" s="2" t="s">
        <v>28</v>
      </c>
      <c r="AH36" s="2" t="s">
        <v>11</v>
      </c>
      <c r="AI36" s="1" t="s">
        <v>11</v>
      </c>
      <c r="AJ36" s="47" t="s">
        <v>28</v>
      </c>
      <c r="AK36" s="286"/>
      <c r="AL36" s="48" t="s">
        <v>11</v>
      </c>
      <c r="AM36" s="354" t="s">
        <v>11</v>
      </c>
      <c r="AN36" s="309" t="s">
        <v>11</v>
      </c>
      <c r="AO36" s="2" t="s">
        <v>45</v>
      </c>
      <c r="AP36" s="21" t="s">
        <v>35</v>
      </c>
      <c r="AQ36" s="49" t="s">
        <v>23</v>
      </c>
      <c r="AR36" s="135" t="s">
        <v>11</v>
      </c>
      <c r="AS36" s="59" t="s">
        <v>20</v>
      </c>
      <c r="AT36" s="60" t="s">
        <v>11</v>
      </c>
      <c r="AU36" s="60" t="s">
        <v>20</v>
      </c>
      <c r="AV36" s="47" t="s">
        <v>38</v>
      </c>
      <c r="AW36" s="46" t="s">
        <v>45</v>
      </c>
      <c r="AX36" s="46" t="s">
        <v>45</v>
      </c>
      <c r="AY36" s="1" t="s">
        <v>40</v>
      </c>
      <c r="AZ36" s="1" t="s">
        <v>40</v>
      </c>
      <c r="BA36" s="49" t="s">
        <v>38</v>
      </c>
      <c r="BB36" s="2" t="s">
        <v>40</v>
      </c>
      <c r="BC36" s="46" t="s">
        <v>40</v>
      </c>
      <c r="BD36" s="136" t="s">
        <v>40</v>
      </c>
      <c r="BE36" s="61" t="s">
        <v>23</v>
      </c>
      <c r="BF36" s="61" t="s">
        <v>23</v>
      </c>
    </row>
    <row r="37" spans="2:58" ht="11.25">
      <c r="B37" s="118">
        <v>1</v>
      </c>
      <c r="C37" s="503">
        <f aca="true" t="shared" si="0" ref="C37:C48">B37*V37*$H37/1000</f>
        <v>0.875</v>
      </c>
      <c r="D37" s="54"/>
      <c r="E37" s="250" t="s">
        <v>183</v>
      </c>
      <c r="F37" s="78" t="s">
        <v>184</v>
      </c>
      <c r="G37" s="179" t="s">
        <v>158</v>
      </c>
      <c r="H37" s="179">
        <v>35</v>
      </c>
      <c r="I37" s="271"/>
      <c r="J37" s="80">
        <v>10.3</v>
      </c>
      <c r="K37" s="80">
        <v>17.7</v>
      </c>
      <c r="L37" s="296">
        <v>0.3</v>
      </c>
      <c r="M37" s="25"/>
      <c r="N37" s="25"/>
      <c r="O37" s="208" t="str">
        <f aca="true" t="shared" si="1" ref="O37:O48">IF(M37&lt;1.1*((N37*29000)/P37)^0.5,1,"NO")</f>
        <v>NO</v>
      </c>
      <c r="P37" s="4">
        <v>50</v>
      </c>
      <c r="Q37" s="6">
        <v>1.5</v>
      </c>
      <c r="R37" s="4">
        <v>4</v>
      </c>
      <c r="S37" s="140">
        <v>4</v>
      </c>
      <c r="T37" s="4">
        <v>115</v>
      </c>
      <c r="U37" s="24">
        <v>270</v>
      </c>
      <c r="V37" s="22">
        <v>25</v>
      </c>
      <c r="W37" s="23">
        <f aca="true" t="shared" si="2" ref="W37:W48">MIN((V37/4)*12,U37)</f>
        <v>75</v>
      </c>
      <c r="X37" s="27">
        <f aca="true" t="shared" si="3" ref="X37:X48">J37*P37</f>
        <v>515</v>
      </c>
      <c r="Y37" s="28">
        <f aca="true" t="shared" si="4" ref="Y37:Y48">(J37*P37)/(0.85*R37*W37)</f>
        <v>2.019607843137255</v>
      </c>
      <c r="Z37" s="102">
        <f aca="true" t="shared" si="5" ref="Z37:Z48">(0.9*((J37*P37*(K37/2))+(0.85*R37*Y37*W37*(S37-(Y37/2)))))/12</f>
        <v>457.32757352941184</v>
      </c>
      <c r="AA37" s="162">
        <f aca="true" t="shared" si="6" ref="AA37:AA48">IF(I37="v",0.9,1)</f>
        <v>1</v>
      </c>
      <c r="AB37" s="51">
        <f aca="true" t="shared" si="7" ref="AB37:AB48">IF(O37="NO",AA37*0.6*P37*K37*L37,AA37*0.6*P37*K37*L37*O37)</f>
        <v>159.29999999999998</v>
      </c>
      <c r="AC37" s="26">
        <v>17.2</v>
      </c>
      <c r="AD37" s="290">
        <f aca="true" t="shared" si="8" ref="AD37:AD48">(X37/AC37)*2</f>
        <v>59.88372093023256</v>
      </c>
      <c r="AE37" s="288">
        <v>30</v>
      </c>
      <c r="AF37" s="288">
        <v>1.6</v>
      </c>
      <c r="AG37" s="24">
        <v>29</v>
      </c>
      <c r="AH37" s="24">
        <v>0</v>
      </c>
      <c r="AI37" s="356">
        <f aca="true" t="shared" si="9" ref="AI37:AI48">((AE37+AG37+AF37)*(U37/12))+H37+AH37</f>
        <v>1398.5</v>
      </c>
      <c r="AJ37" s="24">
        <v>115</v>
      </c>
      <c r="AK37" s="23">
        <f aca="true" t="shared" si="10" ref="AK37:AK48">IF(0.25+(15/($F$8*V37*(U37/12))^0.5)&gt;0.5,IF(0.25+(15/($F$8*V37*(U37/12))^0.5)&gt;1,1,0.25+(15/($F$8*V37*(U37/12))^0.5)),0.5)</f>
        <v>0.697213595499958</v>
      </c>
      <c r="AL37" s="290">
        <f aca="true" t="shared" si="11" ref="AL37:AL48">(AJ37*AK37)*(U37/12)</f>
        <v>1804.0401783561413</v>
      </c>
      <c r="AM37" s="290">
        <f aca="true" t="shared" si="12" ref="AM37:AM48">(1.2*AI37)+(1.6*AL37)</f>
        <v>4564.664285369826</v>
      </c>
      <c r="AN37" s="290">
        <f aca="true" t="shared" si="13" ref="AN37:AN48">1.4*AI37</f>
        <v>1957.8999999999999</v>
      </c>
      <c r="AO37" s="23">
        <f aca="true" t="shared" si="14" ref="AO37:AO48">MAX((AN37*V37*V37)/8000,(AM37*V37*V37)/8000)</f>
        <v>356.61439729451763</v>
      </c>
      <c r="AP37" s="128">
        <f aca="true" t="shared" si="15" ref="AP37:AP48">MAX(AN37*V37/2000,AM37*V37/2000)</f>
        <v>57.05830356712282</v>
      </c>
      <c r="AQ37" s="90" t="str">
        <f aca="true" t="shared" si="16" ref="AQ37:AQ48">IF(AND(Z37&gt;AO37,AB37&gt;AP37),"OK","NG")</f>
        <v>OK</v>
      </c>
      <c r="AR37" s="103">
        <f aca="true" t="shared" si="17" ref="AR37:AR48">((AF37+AG37)*(U37/12))+H37</f>
        <v>723.5</v>
      </c>
      <c r="AS37" s="289">
        <f aca="true" t="shared" si="18" ref="AS37:AS48">AR37/12</f>
        <v>60.291666666666664</v>
      </c>
      <c r="AT37" s="290">
        <f aca="true" t="shared" si="19" ref="AT37:AT48">AJ37*(U37/12)</f>
        <v>2587.5</v>
      </c>
      <c r="AU37" s="290">
        <f aca="true" t="shared" si="20" ref="AU37:AU48">AT37/12</f>
        <v>215.625</v>
      </c>
      <c r="AV37" s="24">
        <v>510</v>
      </c>
      <c r="AW37" s="68">
        <f aca="true" t="shared" si="21" ref="AW37:AW48">(AR37*V37*V37)/8000</f>
        <v>56.5234375</v>
      </c>
      <c r="AX37" s="118"/>
      <c r="AY37" s="126">
        <v>0</v>
      </c>
      <c r="AZ37" s="291">
        <f aca="true" t="shared" si="22" ref="AZ37:AZ48">S37-Y37/2</f>
        <v>2.9901960784313726</v>
      </c>
      <c r="BA37" s="66">
        <v>1230</v>
      </c>
      <c r="BB37" s="292">
        <f aca="true" t="shared" si="23" ref="BB37:BB48">(5*(AS37)*((V37*12)^4))/(384*29000000*AV37)</f>
        <v>0.4299450114097363</v>
      </c>
      <c r="BC37" s="68">
        <f aca="true" t="shared" si="24" ref="BC37:BC48">(5*(AU37)*((V37*12)^4))/(384*29000000*BA37)</f>
        <v>0.6375581502312868</v>
      </c>
      <c r="BD37" s="102">
        <f aca="true" t="shared" si="25" ref="BD37:BD48">(V37/360)*12</f>
        <v>0.8333333333333334</v>
      </c>
      <c r="BE37" s="90" t="str">
        <f aca="true" t="shared" si="26" ref="BE37:BE48">IF(BB37&gt;BD37,"NG","OK")</f>
        <v>OK</v>
      </c>
      <c r="BF37" s="90" t="str">
        <f aca="true" t="shared" si="27" ref="BF37:BF48">IF(BC37&gt;BD37,"NG","OK")</f>
        <v>OK</v>
      </c>
    </row>
    <row r="38" spans="2:58" ht="11.25">
      <c r="B38" s="119">
        <v>1</v>
      </c>
      <c r="C38" s="512">
        <f t="shared" si="0"/>
        <v>1.1</v>
      </c>
      <c r="D38" s="54"/>
      <c r="E38" s="355" t="s">
        <v>184</v>
      </c>
      <c r="F38" s="178" t="s">
        <v>185</v>
      </c>
      <c r="G38" s="179" t="s">
        <v>158</v>
      </c>
      <c r="H38" s="179">
        <v>40</v>
      </c>
      <c r="I38" s="272"/>
      <c r="J38" s="80">
        <v>11.8</v>
      </c>
      <c r="K38" s="80">
        <v>17.9</v>
      </c>
      <c r="L38" s="296">
        <v>0.315</v>
      </c>
      <c r="M38" s="32"/>
      <c r="N38" s="32"/>
      <c r="O38" s="358" t="str">
        <f t="shared" si="1"/>
        <v>NO</v>
      </c>
      <c r="P38" s="71">
        <v>50</v>
      </c>
      <c r="Q38" s="359">
        <v>1.5</v>
      </c>
      <c r="R38" s="71">
        <v>4</v>
      </c>
      <c r="S38" s="207">
        <v>4</v>
      </c>
      <c r="T38" s="71">
        <v>115</v>
      </c>
      <c r="U38" s="31">
        <v>282</v>
      </c>
      <c r="V38" s="29">
        <v>27.5</v>
      </c>
      <c r="W38" s="30">
        <f t="shared" si="2"/>
        <v>82.5</v>
      </c>
      <c r="X38" s="361">
        <f t="shared" si="3"/>
        <v>590</v>
      </c>
      <c r="Y38" s="147">
        <f t="shared" si="4"/>
        <v>2.1033868092691623</v>
      </c>
      <c r="Z38" s="211">
        <f t="shared" si="5"/>
        <v>526.5000668449198</v>
      </c>
      <c r="AA38" s="132">
        <f t="shared" si="6"/>
        <v>1</v>
      </c>
      <c r="AB38" s="86">
        <f t="shared" si="7"/>
        <v>169.155</v>
      </c>
      <c r="AC38" s="64">
        <v>17.2</v>
      </c>
      <c r="AD38" s="85">
        <f t="shared" si="8"/>
        <v>68.6046511627907</v>
      </c>
      <c r="AE38" s="297">
        <v>30</v>
      </c>
      <c r="AF38" s="297">
        <v>1.6</v>
      </c>
      <c r="AG38" s="81">
        <v>29</v>
      </c>
      <c r="AH38" s="182">
        <v>0</v>
      </c>
      <c r="AI38" s="253">
        <f t="shared" si="9"/>
        <v>1464.1000000000001</v>
      </c>
      <c r="AJ38" s="31">
        <v>115</v>
      </c>
      <c r="AK38" s="30">
        <f t="shared" si="10"/>
        <v>0.6672304374216065</v>
      </c>
      <c r="AL38" s="85">
        <f t="shared" si="11"/>
        <v>1803.1902571318917</v>
      </c>
      <c r="AM38" s="85">
        <f t="shared" si="12"/>
        <v>4642.024411411026</v>
      </c>
      <c r="AN38" s="85">
        <f t="shared" si="13"/>
        <v>2049.7400000000002</v>
      </c>
      <c r="AO38" s="82">
        <f t="shared" si="14"/>
        <v>438.81637014119855</v>
      </c>
      <c r="AP38" s="128">
        <f t="shared" si="15"/>
        <v>63.82783565690161</v>
      </c>
      <c r="AQ38" s="91" t="str">
        <f t="shared" si="16"/>
        <v>OK</v>
      </c>
      <c r="AR38" s="120">
        <f t="shared" si="17"/>
        <v>759.1</v>
      </c>
      <c r="AS38" s="255">
        <f t="shared" si="18"/>
        <v>63.25833333333333</v>
      </c>
      <c r="AT38" s="52">
        <f t="shared" si="19"/>
        <v>2702.5</v>
      </c>
      <c r="AU38" s="52">
        <f t="shared" si="20"/>
        <v>225.20833333333334</v>
      </c>
      <c r="AV38" s="81">
        <v>612</v>
      </c>
      <c r="AW38" s="63">
        <f t="shared" si="21"/>
        <v>71.758671875</v>
      </c>
      <c r="AX38" s="119"/>
      <c r="AY38" s="125">
        <v>0</v>
      </c>
      <c r="AZ38" s="256">
        <f t="shared" si="22"/>
        <v>2.948306595365419</v>
      </c>
      <c r="BA38" s="87">
        <v>1448</v>
      </c>
      <c r="BB38" s="257">
        <f t="shared" si="23"/>
        <v>0.5503802799743281</v>
      </c>
      <c r="BC38" s="63">
        <f t="shared" si="24"/>
        <v>0.828156540838508</v>
      </c>
      <c r="BD38" s="130">
        <f t="shared" si="25"/>
        <v>0.9166666666666667</v>
      </c>
      <c r="BE38" s="91" t="str">
        <f t="shared" si="26"/>
        <v>OK</v>
      </c>
      <c r="BF38" s="91" t="str">
        <f t="shared" si="27"/>
        <v>OK</v>
      </c>
    </row>
    <row r="39" spans="1:58" ht="11.25">
      <c r="A39" s="54"/>
      <c r="B39" s="119">
        <v>1</v>
      </c>
      <c r="C39" s="512">
        <f t="shared" si="0"/>
        <v>1.1</v>
      </c>
      <c r="D39" s="54"/>
      <c r="E39" s="357" t="s">
        <v>185</v>
      </c>
      <c r="F39" s="180" t="s">
        <v>161</v>
      </c>
      <c r="G39" s="179" t="s">
        <v>158</v>
      </c>
      <c r="H39" s="179">
        <v>40</v>
      </c>
      <c r="I39" s="272"/>
      <c r="J39" s="80">
        <v>11.8</v>
      </c>
      <c r="K39" s="80">
        <v>17.9</v>
      </c>
      <c r="L39" s="296">
        <v>0.315</v>
      </c>
      <c r="M39" s="32"/>
      <c r="N39" s="32"/>
      <c r="O39" s="157" t="str">
        <f t="shared" si="1"/>
        <v>NO</v>
      </c>
      <c r="P39" s="34">
        <v>50</v>
      </c>
      <c r="Q39" s="33">
        <v>1.5</v>
      </c>
      <c r="R39" s="34">
        <v>4</v>
      </c>
      <c r="S39" s="29">
        <v>4</v>
      </c>
      <c r="T39" s="34">
        <v>115</v>
      </c>
      <c r="U39" s="31">
        <v>282</v>
      </c>
      <c r="V39" s="29">
        <v>27.5</v>
      </c>
      <c r="W39" s="82">
        <f t="shared" si="2"/>
        <v>82.5</v>
      </c>
      <c r="X39" s="83">
        <f t="shared" si="3"/>
        <v>590</v>
      </c>
      <c r="Y39" s="84">
        <f t="shared" si="4"/>
        <v>2.1033868092691623</v>
      </c>
      <c r="Z39" s="294">
        <f t="shared" si="5"/>
        <v>526.5000668449198</v>
      </c>
      <c r="AA39" s="131">
        <f t="shared" si="6"/>
        <v>1</v>
      </c>
      <c r="AB39" s="128">
        <f t="shared" si="7"/>
        <v>169.155</v>
      </c>
      <c r="AC39" s="33">
        <v>17.2</v>
      </c>
      <c r="AD39" s="52">
        <f t="shared" si="8"/>
        <v>68.6046511627907</v>
      </c>
      <c r="AE39" s="34">
        <v>30</v>
      </c>
      <c r="AF39" s="34">
        <v>1.6</v>
      </c>
      <c r="AG39" s="31">
        <v>29</v>
      </c>
      <c r="AH39" s="31">
        <v>0</v>
      </c>
      <c r="AI39" s="112">
        <f t="shared" si="9"/>
        <v>1464.1000000000001</v>
      </c>
      <c r="AJ39" s="31">
        <v>115</v>
      </c>
      <c r="AK39" s="30">
        <f t="shared" si="10"/>
        <v>0.6672304374216065</v>
      </c>
      <c r="AL39" s="85">
        <f t="shared" si="11"/>
        <v>1803.1902571318917</v>
      </c>
      <c r="AM39" s="85">
        <f t="shared" si="12"/>
        <v>4642.024411411026</v>
      </c>
      <c r="AN39" s="85">
        <f t="shared" si="13"/>
        <v>2049.7400000000002</v>
      </c>
      <c r="AO39" s="82">
        <f t="shared" si="14"/>
        <v>438.81637014119855</v>
      </c>
      <c r="AP39" s="86">
        <f t="shared" si="15"/>
        <v>63.82783565690161</v>
      </c>
      <c r="AQ39" s="91" t="str">
        <f t="shared" si="16"/>
        <v>OK</v>
      </c>
      <c r="AR39" s="120">
        <f t="shared" si="17"/>
        <v>759.1</v>
      </c>
      <c r="AS39" s="255">
        <f t="shared" si="18"/>
        <v>63.25833333333333</v>
      </c>
      <c r="AT39" s="52">
        <f t="shared" si="19"/>
        <v>2702.5</v>
      </c>
      <c r="AU39" s="52">
        <f t="shared" si="20"/>
        <v>225.20833333333334</v>
      </c>
      <c r="AV39" s="81">
        <v>612</v>
      </c>
      <c r="AW39" s="63">
        <f t="shared" si="21"/>
        <v>71.758671875</v>
      </c>
      <c r="AX39" s="119"/>
      <c r="AY39" s="125">
        <v>0</v>
      </c>
      <c r="AZ39" s="256">
        <f t="shared" si="22"/>
        <v>2.948306595365419</v>
      </c>
      <c r="BA39" s="87">
        <v>1448</v>
      </c>
      <c r="BB39" s="257">
        <f t="shared" si="23"/>
        <v>0.5503802799743281</v>
      </c>
      <c r="BC39" s="63">
        <f t="shared" si="24"/>
        <v>0.828156540838508</v>
      </c>
      <c r="BD39" s="130">
        <f t="shared" si="25"/>
        <v>0.9166666666666667</v>
      </c>
      <c r="BE39" s="91" t="str">
        <f t="shared" si="26"/>
        <v>OK</v>
      </c>
      <c r="BF39" s="91" t="str">
        <f t="shared" si="27"/>
        <v>OK</v>
      </c>
    </row>
    <row r="40" spans="1:58" ht="12" thickBot="1">
      <c r="A40" s="54"/>
      <c r="B40" s="165">
        <v>1</v>
      </c>
      <c r="C40" s="507">
        <f t="shared" si="0"/>
        <v>0.875</v>
      </c>
      <c r="D40" s="54"/>
      <c r="E40" s="268" t="s">
        <v>161</v>
      </c>
      <c r="F40" s="304" t="s">
        <v>162</v>
      </c>
      <c r="G40" s="218" t="s">
        <v>158</v>
      </c>
      <c r="H40" s="218">
        <v>35</v>
      </c>
      <c r="I40" s="273"/>
      <c r="J40" s="100">
        <v>10.3</v>
      </c>
      <c r="K40" s="100">
        <v>17.7</v>
      </c>
      <c r="L40" s="116">
        <v>0.3</v>
      </c>
      <c r="M40" s="116"/>
      <c r="N40" s="116"/>
      <c r="O40" s="158" t="str">
        <f t="shared" si="1"/>
        <v>NO</v>
      </c>
      <c r="P40" s="109">
        <v>50</v>
      </c>
      <c r="Q40" s="95">
        <v>1.5</v>
      </c>
      <c r="R40" s="109">
        <v>4</v>
      </c>
      <c r="S40" s="100">
        <v>4</v>
      </c>
      <c r="T40" s="109">
        <v>115</v>
      </c>
      <c r="U40" s="183">
        <v>270</v>
      </c>
      <c r="V40" s="100">
        <v>25</v>
      </c>
      <c r="W40" s="107">
        <f t="shared" si="2"/>
        <v>75</v>
      </c>
      <c r="X40" s="105">
        <f t="shared" si="3"/>
        <v>515</v>
      </c>
      <c r="Y40" s="117">
        <f t="shared" si="4"/>
        <v>2.019607843137255</v>
      </c>
      <c r="Z40" s="113">
        <f t="shared" si="5"/>
        <v>457.32757352941184</v>
      </c>
      <c r="AA40" s="164">
        <f t="shared" si="6"/>
        <v>1</v>
      </c>
      <c r="AB40" s="129">
        <f t="shared" si="7"/>
        <v>159.29999999999998</v>
      </c>
      <c r="AC40" s="95">
        <v>17.2</v>
      </c>
      <c r="AD40" s="106">
        <f t="shared" si="8"/>
        <v>59.88372093023256</v>
      </c>
      <c r="AE40" s="109">
        <v>30</v>
      </c>
      <c r="AF40" s="109">
        <v>1.6</v>
      </c>
      <c r="AG40" s="108">
        <v>29</v>
      </c>
      <c r="AH40" s="108">
        <v>0</v>
      </c>
      <c r="AI40" s="133">
        <f t="shared" si="9"/>
        <v>1398.5</v>
      </c>
      <c r="AJ40" s="108">
        <v>115</v>
      </c>
      <c r="AK40" s="107">
        <f t="shared" si="10"/>
        <v>0.697213595499958</v>
      </c>
      <c r="AL40" s="106">
        <f t="shared" si="11"/>
        <v>1804.0401783561413</v>
      </c>
      <c r="AM40" s="106">
        <f t="shared" si="12"/>
        <v>4564.664285369826</v>
      </c>
      <c r="AN40" s="106">
        <f t="shared" si="13"/>
        <v>1957.8999999999999</v>
      </c>
      <c r="AO40" s="107">
        <f t="shared" si="14"/>
        <v>356.61439729451763</v>
      </c>
      <c r="AP40" s="129">
        <f t="shared" si="15"/>
        <v>57.05830356712282</v>
      </c>
      <c r="AQ40" s="316" t="str">
        <f t="shared" si="16"/>
        <v>OK</v>
      </c>
      <c r="AR40" s="104">
        <f t="shared" si="17"/>
        <v>723.5</v>
      </c>
      <c r="AS40" s="312">
        <f t="shared" si="18"/>
        <v>60.291666666666664</v>
      </c>
      <c r="AT40" s="106">
        <f t="shared" si="19"/>
        <v>2587.5</v>
      </c>
      <c r="AU40" s="106">
        <f t="shared" si="20"/>
        <v>215.625</v>
      </c>
      <c r="AV40" s="183">
        <v>510</v>
      </c>
      <c r="AW40" s="111">
        <f t="shared" si="21"/>
        <v>56.5234375</v>
      </c>
      <c r="AX40" s="165"/>
      <c r="AY40" s="127">
        <v>0</v>
      </c>
      <c r="AZ40" s="313">
        <f t="shared" si="22"/>
        <v>2.9901960784313726</v>
      </c>
      <c r="BA40" s="110">
        <v>1230</v>
      </c>
      <c r="BB40" s="314">
        <f t="shared" si="23"/>
        <v>0.4299450114097363</v>
      </c>
      <c r="BC40" s="111">
        <f t="shared" si="24"/>
        <v>0.6375581502312868</v>
      </c>
      <c r="BD40" s="113">
        <f t="shared" si="25"/>
        <v>0.8333333333333334</v>
      </c>
      <c r="BE40" s="92" t="str">
        <f t="shared" si="26"/>
        <v>OK</v>
      </c>
      <c r="BF40" s="92" t="str">
        <f t="shared" si="27"/>
        <v>OK</v>
      </c>
    </row>
    <row r="41" spans="2:58" ht="12" thickBot="1">
      <c r="B41" s="347">
        <v>1</v>
      </c>
      <c r="C41" s="511">
        <f t="shared" si="0"/>
        <v>1.5</v>
      </c>
      <c r="D41" s="54"/>
      <c r="E41" s="184" t="s">
        <v>164</v>
      </c>
      <c r="F41" s="323" t="s">
        <v>165</v>
      </c>
      <c r="G41" s="268" t="s">
        <v>158</v>
      </c>
      <c r="H41" s="518">
        <v>50</v>
      </c>
      <c r="I41" s="394"/>
      <c r="J41" s="306">
        <v>14.7</v>
      </c>
      <c r="K41" s="100">
        <v>18</v>
      </c>
      <c r="L41" s="116">
        <v>0.355</v>
      </c>
      <c r="M41" s="325"/>
      <c r="N41" s="156"/>
      <c r="O41" s="373" t="str">
        <f t="shared" si="1"/>
        <v>NO</v>
      </c>
      <c r="P41" s="286">
        <v>50</v>
      </c>
      <c r="Q41" s="36">
        <v>1.5</v>
      </c>
      <c r="R41" s="286">
        <v>4</v>
      </c>
      <c r="S41" s="306">
        <v>4</v>
      </c>
      <c r="T41" s="286">
        <v>115</v>
      </c>
      <c r="U41" s="336">
        <v>282</v>
      </c>
      <c r="V41" s="325">
        <v>30</v>
      </c>
      <c r="W41" s="148">
        <f t="shared" si="2"/>
        <v>90</v>
      </c>
      <c r="X41" s="149">
        <f t="shared" si="3"/>
        <v>735</v>
      </c>
      <c r="Y41" s="150">
        <f t="shared" si="4"/>
        <v>2.4019607843137254</v>
      </c>
      <c r="Z41" s="374">
        <f t="shared" si="5"/>
        <v>650.420955882353</v>
      </c>
      <c r="AA41" s="375">
        <f t="shared" si="6"/>
        <v>1</v>
      </c>
      <c r="AB41" s="308">
        <f t="shared" si="7"/>
        <v>191.7</v>
      </c>
      <c r="AC41" s="36">
        <v>17.2</v>
      </c>
      <c r="AD41" s="376">
        <f t="shared" si="8"/>
        <v>85.46511627906978</v>
      </c>
      <c r="AE41" s="286">
        <v>30</v>
      </c>
      <c r="AF41" s="286">
        <v>1.6</v>
      </c>
      <c r="AG41" s="35">
        <v>29</v>
      </c>
      <c r="AH41" s="35">
        <v>0</v>
      </c>
      <c r="AI41" s="377">
        <f t="shared" si="9"/>
        <v>1474.1000000000001</v>
      </c>
      <c r="AJ41" s="336">
        <v>115</v>
      </c>
      <c r="AK41" s="82">
        <f t="shared" si="10"/>
        <v>0.6494677309684806</v>
      </c>
      <c r="AL41" s="376">
        <f t="shared" si="11"/>
        <v>1755.186542942319</v>
      </c>
      <c r="AM41" s="376">
        <f t="shared" si="12"/>
        <v>4577.218468707711</v>
      </c>
      <c r="AN41" s="376">
        <f t="shared" si="13"/>
        <v>2063.7400000000002</v>
      </c>
      <c r="AO41" s="148">
        <f t="shared" si="14"/>
        <v>514.9370777296175</v>
      </c>
      <c r="AP41" s="308">
        <f t="shared" si="15"/>
        <v>68.65827703061566</v>
      </c>
      <c r="AQ41" s="311" t="str">
        <f t="shared" si="16"/>
        <v>OK</v>
      </c>
      <c r="AR41" s="378">
        <f t="shared" si="17"/>
        <v>769.1</v>
      </c>
      <c r="AS41" s="379">
        <f t="shared" si="18"/>
        <v>64.09166666666667</v>
      </c>
      <c r="AT41" s="376">
        <f t="shared" si="19"/>
        <v>2702.5</v>
      </c>
      <c r="AU41" s="345">
        <f t="shared" si="20"/>
        <v>225.20833333333334</v>
      </c>
      <c r="AV41" s="328">
        <v>800</v>
      </c>
      <c r="AW41" s="346">
        <f t="shared" si="21"/>
        <v>86.52375</v>
      </c>
      <c r="AX41" s="347"/>
      <c r="AY41" s="348">
        <v>0</v>
      </c>
      <c r="AZ41" s="349">
        <f t="shared" si="22"/>
        <v>2.799019607843137</v>
      </c>
      <c r="BA41" s="350">
        <v>1818</v>
      </c>
      <c r="BB41" s="351">
        <f t="shared" si="23"/>
        <v>0.6041744612068967</v>
      </c>
      <c r="BC41" s="380">
        <f t="shared" si="24"/>
        <v>0.9342032263571185</v>
      </c>
      <c r="BD41" s="384">
        <f t="shared" si="25"/>
        <v>1</v>
      </c>
      <c r="BE41" s="385" t="str">
        <f t="shared" si="26"/>
        <v>OK</v>
      </c>
      <c r="BF41" s="385" t="str">
        <f t="shared" si="27"/>
        <v>OK</v>
      </c>
    </row>
    <row r="42" spans="2:58" ht="11.25">
      <c r="B42" s="254">
        <v>1</v>
      </c>
      <c r="C42" s="503">
        <f t="shared" si="0"/>
        <v>1.1</v>
      </c>
      <c r="D42" s="54"/>
      <c r="E42" s="355" t="s">
        <v>187</v>
      </c>
      <c r="F42" s="178" t="s">
        <v>188</v>
      </c>
      <c r="G42" s="516" t="s">
        <v>158</v>
      </c>
      <c r="H42" s="516">
        <v>40</v>
      </c>
      <c r="I42" s="390"/>
      <c r="J42" s="80">
        <v>11.8</v>
      </c>
      <c r="K42" s="80">
        <v>17.9</v>
      </c>
      <c r="L42" s="296">
        <v>0.315</v>
      </c>
      <c r="M42" s="80"/>
      <c r="N42" s="391"/>
      <c r="O42" s="392" t="str">
        <f t="shared" si="1"/>
        <v>NO</v>
      </c>
      <c r="P42" s="297">
        <v>50</v>
      </c>
      <c r="Q42" s="64">
        <v>1.5</v>
      </c>
      <c r="R42" s="297">
        <v>4</v>
      </c>
      <c r="S42" s="80">
        <v>4</v>
      </c>
      <c r="T42" s="297">
        <v>115</v>
      </c>
      <c r="U42" s="81">
        <v>240</v>
      </c>
      <c r="V42" s="80">
        <v>27.5</v>
      </c>
      <c r="W42" s="82">
        <f t="shared" si="2"/>
        <v>82.5</v>
      </c>
      <c r="X42" s="83">
        <f t="shared" si="3"/>
        <v>590</v>
      </c>
      <c r="Y42" s="84">
        <f t="shared" si="4"/>
        <v>2.1033868092691623</v>
      </c>
      <c r="Z42" s="102">
        <f t="shared" si="5"/>
        <v>526.5000668449198</v>
      </c>
      <c r="AA42" s="162">
        <f t="shared" si="6"/>
        <v>1</v>
      </c>
      <c r="AB42" s="51">
        <f t="shared" si="7"/>
        <v>169.155</v>
      </c>
      <c r="AC42" s="26">
        <v>17.2</v>
      </c>
      <c r="AD42" s="85">
        <f t="shared" si="8"/>
        <v>68.6046511627907</v>
      </c>
      <c r="AE42" s="297">
        <v>30</v>
      </c>
      <c r="AF42" s="297">
        <v>1.6</v>
      </c>
      <c r="AG42" s="81">
        <v>29</v>
      </c>
      <c r="AH42" s="24">
        <v>0</v>
      </c>
      <c r="AI42" s="356">
        <f t="shared" si="9"/>
        <v>1252</v>
      </c>
      <c r="AJ42" s="410">
        <v>115</v>
      </c>
      <c r="AK42" s="23">
        <f t="shared" si="10"/>
        <v>0.7022670168666454</v>
      </c>
      <c r="AL42" s="85">
        <f t="shared" si="11"/>
        <v>1615.2141387932843</v>
      </c>
      <c r="AM42" s="85">
        <f t="shared" si="12"/>
        <v>4086.742622069255</v>
      </c>
      <c r="AN42" s="85">
        <f t="shared" si="13"/>
        <v>1752.8</v>
      </c>
      <c r="AO42" s="82">
        <f t="shared" si="14"/>
        <v>386.32488849248426</v>
      </c>
      <c r="AP42" s="86">
        <f t="shared" si="15"/>
        <v>56.19271105345226</v>
      </c>
      <c r="AQ42" s="90" t="str">
        <f t="shared" si="16"/>
        <v>OK</v>
      </c>
      <c r="AR42" s="103">
        <f t="shared" si="17"/>
        <v>652</v>
      </c>
      <c r="AS42" s="289">
        <f t="shared" si="18"/>
        <v>54.333333333333336</v>
      </c>
      <c r="AT42" s="290">
        <f t="shared" si="19"/>
        <v>2300</v>
      </c>
      <c r="AU42" s="85">
        <f t="shared" si="20"/>
        <v>191.66666666666666</v>
      </c>
      <c r="AV42" s="81">
        <v>612</v>
      </c>
      <c r="AW42" s="88">
        <f t="shared" si="21"/>
        <v>61.634375</v>
      </c>
      <c r="AX42" s="254"/>
      <c r="AY42" s="300">
        <v>0</v>
      </c>
      <c r="AZ42" s="301">
        <f t="shared" si="22"/>
        <v>2.948306595365419</v>
      </c>
      <c r="BA42" s="87">
        <v>1448</v>
      </c>
      <c r="BB42" s="302">
        <f t="shared" si="23"/>
        <v>0.4727281551090264</v>
      </c>
      <c r="BC42" s="68">
        <f t="shared" si="24"/>
        <v>0.7048140773093684</v>
      </c>
      <c r="BD42" s="102">
        <f t="shared" si="25"/>
        <v>0.9166666666666667</v>
      </c>
      <c r="BE42" s="90" t="str">
        <f t="shared" si="26"/>
        <v>OK</v>
      </c>
      <c r="BF42" s="90" t="str">
        <f t="shared" si="27"/>
        <v>OK</v>
      </c>
    </row>
    <row r="43" spans="2:58" ht="12" thickBot="1">
      <c r="B43" s="165">
        <v>1</v>
      </c>
      <c r="C43" s="507">
        <f t="shared" si="0"/>
        <v>1.2</v>
      </c>
      <c r="D43" s="54"/>
      <c r="E43" s="393" t="s">
        <v>168</v>
      </c>
      <c r="F43" s="62" t="s">
        <v>169</v>
      </c>
      <c r="G43" s="268" t="s">
        <v>158</v>
      </c>
      <c r="H43" s="518">
        <v>40</v>
      </c>
      <c r="I43" s="273"/>
      <c r="J43" s="100">
        <v>11.8</v>
      </c>
      <c r="K43" s="100">
        <v>17.9</v>
      </c>
      <c r="L43" s="116">
        <v>0.315</v>
      </c>
      <c r="M43" s="100"/>
      <c r="N43" s="156"/>
      <c r="O43" s="158" t="str">
        <f t="shared" si="1"/>
        <v>NO</v>
      </c>
      <c r="P43" s="109">
        <v>50</v>
      </c>
      <c r="Q43" s="95">
        <v>1.5</v>
      </c>
      <c r="R43" s="109">
        <v>4</v>
      </c>
      <c r="S43" s="100">
        <v>4</v>
      </c>
      <c r="T43" s="109">
        <v>115</v>
      </c>
      <c r="U43" s="108">
        <v>240</v>
      </c>
      <c r="V43" s="100">
        <v>30</v>
      </c>
      <c r="W43" s="107">
        <f t="shared" si="2"/>
        <v>90</v>
      </c>
      <c r="X43" s="105">
        <f t="shared" si="3"/>
        <v>590</v>
      </c>
      <c r="Y43" s="117">
        <f t="shared" si="4"/>
        <v>1.9281045751633987</v>
      </c>
      <c r="Z43" s="384">
        <f t="shared" si="5"/>
        <v>530.3781862745099</v>
      </c>
      <c r="AA43" s="375">
        <f t="shared" si="6"/>
        <v>1</v>
      </c>
      <c r="AB43" s="308">
        <f t="shared" si="7"/>
        <v>169.155</v>
      </c>
      <c r="AC43" s="36">
        <v>17.2</v>
      </c>
      <c r="AD43" s="376">
        <f t="shared" si="8"/>
        <v>68.6046511627907</v>
      </c>
      <c r="AE43" s="286">
        <v>30</v>
      </c>
      <c r="AF43" s="286">
        <v>1.6</v>
      </c>
      <c r="AG43" s="35">
        <v>29</v>
      </c>
      <c r="AH43" s="35">
        <v>0</v>
      </c>
      <c r="AI43" s="377">
        <f t="shared" si="9"/>
        <v>1252</v>
      </c>
      <c r="AJ43" s="35">
        <v>115</v>
      </c>
      <c r="AK43" s="107">
        <f t="shared" si="10"/>
        <v>0.6830127018922193</v>
      </c>
      <c r="AL43" s="376">
        <f t="shared" si="11"/>
        <v>1570.9292143521043</v>
      </c>
      <c r="AM43" s="376">
        <f t="shared" si="12"/>
        <v>4015.8867429633665</v>
      </c>
      <c r="AN43" s="376">
        <f t="shared" si="13"/>
        <v>1752.8</v>
      </c>
      <c r="AO43" s="148">
        <f t="shared" si="14"/>
        <v>451.78725858337873</v>
      </c>
      <c r="AP43" s="129">
        <f t="shared" si="15"/>
        <v>60.238301144450496</v>
      </c>
      <c r="AQ43" s="311" t="str">
        <f t="shared" si="16"/>
        <v>OK</v>
      </c>
      <c r="AR43" s="378">
        <f t="shared" si="17"/>
        <v>652</v>
      </c>
      <c r="AS43" s="379">
        <f t="shared" si="18"/>
        <v>54.333333333333336</v>
      </c>
      <c r="AT43" s="376">
        <f t="shared" si="19"/>
        <v>2300</v>
      </c>
      <c r="AU43" s="376">
        <f t="shared" si="20"/>
        <v>191.66666666666666</v>
      </c>
      <c r="AV43" s="35">
        <v>612</v>
      </c>
      <c r="AW43" s="380">
        <f t="shared" si="21"/>
        <v>73.35</v>
      </c>
      <c r="AX43" s="381"/>
      <c r="AY43" s="382">
        <v>0</v>
      </c>
      <c r="AZ43" s="383">
        <f t="shared" si="22"/>
        <v>3.0359477124183005</v>
      </c>
      <c r="BA43" s="368">
        <v>1448</v>
      </c>
      <c r="BB43" s="310">
        <f t="shared" si="23"/>
        <v>0.6695233265720081</v>
      </c>
      <c r="BC43" s="380">
        <f t="shared" si="24"/>
        <v>0.9982258525433415</v>
      </c>
      <c r="BD43" s="384">
        <f t="shared" si="25"/>
        <v>1</v>
      </c>
      <c r="BE43" s="385" t="str">
        <f t="shared" si="26"/>
        <v>OK</v>
      </c>
      <c r="BF43" s="385" t="str">
        <f t="shared" si="27"/>
        <v>OK</v>
      </c>
    </row>
    <row r="44" spans="2:58" ht="12" thickBot="1">
      <c r="B44" s="347">
        <v>1</v>
      </c>
      <c r="C44" s="503">
        <f t="shared" si="0"/>
        <v>1.5</v>
      </c>
      <c r="D44" s="54"/>
      <c r="E44" s="393" t="s">
        <v>172</v>
      </c>
      <c r="F44" s="304" t="s">
        <v>173</v>
      </c>
      <c r="G44" s="268" t="s">
        <v>158</v>
      </c>
      <c r="H44" s="518">
        <v>50</v>
      </c>
      <c r="I44" s="394"/>
      <c r="J44" s="306">
        <v>14.7</v>
      </c>
      <c r="K44" s="100">
        <v>18</v>
      </c>
      <c r="L44" s="116">
        <v>0.355</v>
      </c>
      <c r="M44" s="306"/>
      <c r="N44" s="398"/>
      <c r="O44" s="373" t="str">
        <f t="shared" si="1"/>
        <v>NO</v>
      </c>
      <c r="P44" s="286">
        <v>50</v>
      </c>
      <c r="Q44" s="36">
        <v>1.5</v>
      </c>
      <c r="R44" s="286">
        <v>4</v>
      </c>
      <c r="S44" s="306">
        <v>4</v>
      </c>
      <c r="T44" s="286">
        <v>115</v>
      </c>
      <c r="U44" s="336">
        <v>282</v>
      </c>
      <c r="V44" s="325">
        <v>30</v>
      </c>
      <c r="W44" s="148">
        <f t="shared" si="2"/>
        <v>90</v>
      </c>
      <c r="X44" s="149">
        <f t="shared" si="3"/>
        <v>735</v>
      </c>
      <c r="Y44" s="150">
        <f t="shared" si="4"/>
        <v>2.4019607843137254</v>
      </c>
      <c r="Z44" s="384">
        <f t="shared" si="5"/>
        <v>650.420955882353</v>
      </c>
      <c r="AA44" s="375">
        <f t="shared" si="6"/>
        <v>1</v>
      </c>
      <c r="AB44" s="308">
        <f t="shared" si="7"/>
        <v>191.7</v>
      </c>
      <c r="AC44" s="36">
        <v>17.2</v>
      </c>
      <c r="AD44" s="376">
        <f t="shared" si="8"/>
        <v>85.46511627906978</v>
      </c>
      <c r="AE44" s="286">
        <v>30</v>
      </c>
      <c r="AF44" s="286">
        <v>1.6</v>
      </c>
      <c r="AG44" s="35">
        <v>29</v>
      </c>
      <c r="AH44" s="35">
        <v>0</v>
      </c>
      <c r="AI44" s="377">
        <f t="shared" si="9"/>
        <v>1474.1000000000001</v>
      </c>
      <c r="AJ44" s="336">
        <v>115</v>
      </c>
      <c r="AK44" s="82">
        <f t="shared" si="10"/>
        <v>0.6494677309684806</v>
      </c>
      <c r="AL44" s="106">
        <f t="shared" si="11"/>
        <v>1755.186542942319</v>
      </c>
      <c r="AM44" s="106">
        <f t="shared" si="12"/>
        <v>4577.218468707711</v>
      </c>
      <c r="AN44" s="106">
        <f t="shared" si="13"/>
        <v>2063.7400000000002</v>
      </c>
      <c r="AO44" s="107">
        <f t="shared" si="14"/>
        <v>514.9370777296175</v>
      </c>
      <c r="AP44" s="129">
        <f t="shared" si="15"/>
        <v>68.65827703061566</v>
      </c>
      <c r="AQ44" s="92" t="str">
        <f t="shared" si="16"/>
        <v>OK</v>
      </c>
      <c r="AR44" s="378">
        <f t="shared" si="17"/>
        <v>769.1</v>
      </c>
      <c r="AS44" s="379">
        <f t="shared" si="18"/>
        <v>64.09166666666667</v>
      </c>
      <c r="AT44" s="376">
        <f t="shared" si="19"/>
        <v>2702.5</v>
      </c>
      <c r="AU44" s="376">
        <f t="shared" si="20"/>
        <v>225.20833333333334</v>
      </c>
      <c r="AV44" s="81">
        <v>800</v>
      </c>
      <c r="AW44" s="380">
        <f t="shared" si="21"/>
        <v>86.52375</v>
      </c>
      <c r="AX44" s="381"/>
      <c r="AY44" s="382">
        <v>0</v>
      </c>
      <c r="AZ44" s="383">
        <f t="shared" si="22"/>
        <v>2.799019607843137</v>
      </c>
      <c r="BA44" s="350">
        <v>1818</v>
      </c>
      <c r="BB44" s="351">
        <f t="shared" si="23"/>
        <v>0.6041744612068967</v>
      </c>
      <c r="BC44" s="380">
        <f t="shared" si="24"/>
        <v>0.9342032263571185</v>
      </c>
      <c r="BD44" s="384">
        <f t="shared" si="25"/>
        <v>1</v>
      </c>
      <c r="BE44" s="385" t="str">
        <f t="shared" si="26"/>
        <v>OK</v>
      </c>
      <c r="BF44" s="385" t="str">
        <f t="shared" si="27"/>
        <v>OK</v>
      </c>
    </row>
    <row r="45" spans="2:58" ht="11.25">
      <c r="B45" s="254">
        <v>1</v>
      </c>
      <c r="C45" s="503">
        <f t="shared" si="0"/>
        <v>0.875</v>
      </c>
      <c r="D45" s="54"/>
      <c r="E45" s="250" t="s">
        <v>174</v>
      </c>
      <c r="F45" s="401" t="s">
        <v>175</v>
      </c>
      <c r="G45" s="179" t="s">
        <v>158</v>
      </c>
      <c r="H45" s="179">
        <v>35</v>
      </c>
      <c r="I45" s="271"/>
      <c r="J45" s="80">
        <v>10.3</v>
      </c>
      <c r="K45" s="80">
        <v>17.7</v>
      </c>
      <c r="L45" s="296">
        <v>0.3</v>
      </c>
      <c r="M45" s="22"/>
      <c r="N45" s="154"/>
      <c r="O45" s="372" t="str">
        <f t="shared" si="1"/>
        <v>NO</v>
      </c>
      <c r="P45" s="288">
        <v>50</v>
      </c>
      <c r="Q45" s="26">
        <v>1.5</v>
      </c>
      <c r="R45" s="288">
        <v>4</v>
      </c>
      <c r="S45" s="22">
        <v>4</v>
      </c>
      <c r="T45" s="288">
        <v>115</v>
      </c>
      <c r="U45" s="182">
        <v>270</v>
      </c>
      <c r="V45" s="74">
        <v>25</v>
      </c>
      <c r="W45" s="23">
        <f t="shared" si="2"/>
        <v>75</v>
      </c>
      <c r="X45" s="27">
        <f t="shared" si="3"/>
        <v>515</v>
      </c>
      <c r="Y45" s="28">
        <f t="shared" si="4"/>
        <v>2.019607843137255</v>
      </c>
      <c r="Z45" s="402">
        <f t="shared" si="5"/>
        <v>457.32757352941184</v>
      </c>
      <c r="AA45" s="403">
        <f t="shared" si="6"/>
        <v>1</v>
      </c>
      <c r="AB45" s="209">
        <f t="shared" si="7"/>
        <v>159.29999999999998</v>
      </c>
      <c r="AC45" s="6">
        <v>17.2</v>
      </c>
      <c r="AD45" s="143">
        <f t="shared" si="8"/>
        <v>59.88372093023256</v>
      </c>
      <c r="AE45" s="4">
        <v>30</v>
      </c>
      <c r="AF45" s="4">
        <v>1.6</v>
      </c>
      <c r="AG45" s="141">
        <v>29</v>
      </c>
      <c r="AH45" s="141">
        <v>0</v>
      </c>
      <c r="AI45" s="144">
        <f t="shared" si="9"/>
        <v>1398.5</v>
      </c>
      <c r="AJ45" s="81">
        <v>115</v>
      </c>
      <c r="AK45" s="23">
        <f t="shared" si="10"/>
        <v>0.697213595499958</v>
      </c>
      <c r="AL45" s="290">
        <f t="shared" si="11"/>
        <v>1804.0401783561413</v>
      </c>
      <c r="AM45" s="290">
        <f t="shared" si="12"/>
        <v>4564.664285369826</v>
      </c>
      <c r="AN45" s="290">
        <f t="shared" si="13"/>
        <v>1957.8999999999999</v>
      </c>
      <c r="AO45" s="23">
        <f t="shared" si="14"/>
        <v>356.61439729451763</v>
      </c>
      <c r="AP45" s="51">
        <f t="shared" si="15"/>
        <v>57.05830356712282</v>
      </c>
      <c r="AQ45" s="90" t="str">
        <f t="shared" si="16"/>
        <v>OK</v>
      </c>
      <c r="AR45" s="103">
        <f t="shared" si="17"/>
        <v>723.5</v>
      </c>
      <c r="AS45" s="289">
        <f t="shared" si="18"/>
        <v>60.291666666666664</v>
      </c>
      <c r="AT45" s="290">
        <f t="shared" si="19"/>
        <v>2587.5</v>
      </c>
      <c r="AU45" s="290">
        <f t="shared" si="20"/>
        <v>215.625</v>
      </c>
      <c r="AV45" s="24">
        <v>510</v>
      </c>
      <c r="AW45" s="68">
        <f t="shared" si="21"/>
        <v>56.5234375</v>
      </c>
      <c r="AX45" s="118"/>
      <c r="AY45" s="126">
        <v>0</v>
      </c>
      <c r="AZ45" s="291">
        <f t="shared" si="22"/>
        <v>2.9901960784313726</v>
      </c>
      <c r="BA45" s="87">
        <v>1230</v>
      </c>
      <c r="BB45" s="302">
        <f t="shared" si="23"/>
        <v>0.4299450114097363</v>
      </c>
      <c r="BC45" s="68">
        <f t="shared" si="24"/>
        <v>0.6375581502312868</v>
      </c>
      <c r="BD45" s="102">
        <f t="shared" si="25"/>
        <v>0.8333333333333334</v>
      </c>
      <c r="BE45" s="90" t="str">
        <f t="shared" si="26"/>
        <v>OK</v>
      </c>
      <c r="BF45" s="90" t="str">
        <f t="shared" si="27"/>
        <v>OK</v>
      </c>
    </row>
    <row r="46" spans="2:58" ht="11.25">
      <c r="B46" s="119">
        <v>1</v>
      </c>
      <c r="C46" s="512">
        <f t="shared" si="0"/>
        <v>1.1</v>
      </c>
      <c r="D46" s="54"/>
      <c r="E46" s="357" t="s">
        <v>175</v>
      </c>
      <c r="F46" s="404" t="s">
        <v>176</v>
      </c>
      <c r="G46" s="179" t="s">
        <v>158</v>
      </c>
      <c r="H46" s="179">
        <v>40</v>
      </c>
      <c r="I46" s="390"/>
      <c r="J46" s="80">
        <v>11.8</v>
      </c>
      <c r="K46" s="80">
        <v>17.9</v>
      </c>
      <c r="L46" s="296">
        <v>0.315</v>
      </c>
      <c r="M46" s="80"/>
      <c r="N46" s="391"/>
      <c r="O46" s="216" t="str">
        <f t="shared" si="1"/>
        <v>NO</v>
      </c>
      <c r="P46" s="11">
        <v>50</v>
      </c>
      <c r="Q46" s="13">
        <v>1.5</v>
      </c>
      <c r="R46" s="11">
        <v>4</v>
      </c>
      <c r="S46" s="74">
        <v>4</v>
      </c>
      <c r="T46" s="11">
        <v>115</v>
      </c>
      <c r="U46" s="31">
        <v>282</v>
      </c>
      <c r="V46" s="29">
        <v>27.5</v>
      </c>
      <c r="W46" s="30">
        <f t="shared" si="2"/>
        <v>82.5</v>
      </c>
      <c r="X46" s="146">
        <f t="shared" si="3"/>
        <v>590</v>
      </c>
      <c r="Y46" s="147">
        <f t="shared" si="4"/>
        <v>2.1033868092691623</v>
      </c>
      <c r="Z46" s="130">
        <f t="shared" si="5"/>
        <v>526.5000668449198</v>
      </c>
      <c r="AA46" s="131">
        <f t="shared" si="6"/>
        <v>1</v>
      </c>
      <c r="AB46" s="128">
        <f t="shared" si="7"/>
        <v>169.155</v>
      </c>
      <c r="AC46" s="33">
        <v>17.2</v>
      </c>
      <c r="AD46" s="52">
        <f t="shared" si="8"/>
        <v>68.6046511627907</v>
      </c>
      <c r="AE46" s="34">
        <v>30</v>
      </c>
      <c r="AF46" s="34">
        <v>1.6</v>
      </c>
      <c r="AG46" s="31">
        <v>29</v>
      </c>
      <c r="AH46" s="31">
        <v>0</v>
      </c>
      <c r="AI46" s="112">
        <f t="shared" si="9"/>
        <v>1464.1000000000001</v>
      </c>
      <c r="AJ46" s="31">
        <v>115</v>
      </c>
      <c r="AK46" s="30">
        <f t="shared" si="10"/>
        <v>0.6672304374216065</v>
      </c>
      <c r="AL46" s="52">
        <f t="shared" si="11"/>
        <v>1803.1902571318917</v>
      </c>
      <c r="AM46" s="52">
        <f t="shared" si="12"/>
        <v>4642.024411411026</v>
      </c>
      <c r="AN46" s="52">
        <f t="shared" si="13"/>
        <v>2049.7400000000002</v>
      </c>
      <c r="AO46" s="30">
        <f t="shared" si="14"/>
        <v>438.81637014119855</v>
      </c>
      <c r="AP46" s="128">
        <f t="shared" si="15"/>
        <v>63.82783565690161</v>
      </c>
      <c r="AQ46" s="91" t="str">
        <f t="shared" si="16"/>
        <v>OK</v>
      </c>
      <c r="AR46" s="120">
        <f t="shared" si="17"/>
        <v>759.1</v>
      </c>
      <c r="AS46" s="255">
        <f t="shared" si="18"/>
        <v>63.25833333333333</v>
      </c>
      <c r="AT46" s="52">
        <f t="shared" si="19"/>
        <v>2702.5</v>
      </c>
      <c r="AU46" s="52">
        <f t="shared" si="20"/>
        <v>225.20833333333334</v>
      </c>
      <c r="AV46" s="31">
        <v>612</v>
      </c>
      <c r="AW46" s="63">
        <f t="shared" si="21"/>
        <v>71.758671875</v>
      </c>
      <c r="AX46" s="119"/>
      <c r="AY46" s="125">
        <v>0</v>
      </c>
      <c r="AZ46" s="256">
        <f t="shared" si="22"/>
        <v>2.948306595365419</v>
      </c>
      <c r="BA46" s="87">
        <v>1448</v>
      </c>
      <c r="BB46" s="257">
        <f t="shared" si="23"/>
        <v>0.5503802799743281</v>
      </c>
      <c r="BC46" s="63">
        <f t="shared" si="24"/>
        <v>0.828156540838508</v>
      </c>
      <c r="BD46" s="130">
        <f t="shared" si="25"/>
        <v>0.9166666666666667</v>
      </c>
      <c r="BE46" s="91" t="str">
        <f t="shared" si="26"/>
        <v>OK</v>
      </c>
      <c r="BF46" s="91" t="str">
        <f t="shared" si="27"/>
        <v>OK</v>
      </c>
    </row>
    <row r="47" spans="2:58" ht="11.25">
      <c r="B47" s="119">
        <v>1</v>
      </c>
      <c r="C47" s="512">
        <f t="shared" si="0"/>
        <v>1.1</v>
      </c>
      <c r="D47" s="54"/>
      <c r="E47" s="357" t="s">
        <v>176</v>
      </c>
      <c r="F47" s="404" t="s">
        <v>177</v>
      </c>
      <c r="G47" s="179" t="s">
        <v>158</v>
      </c>
      <c r="H47" s="179">
        <v>40</v>
      </c>
      <c r="I47" s="272"/>
      <c r="J47" s="80">
        <v>11.8</v>
      </c>
      <c r="K47" s="80">
        <v>17.9</v>
      </c>
      <c r="L47" s="296">
        <v>0.315</v>
      </c>
      <c r="M47" s="29"/>
      <c r="N47" s="155"/>
      <c r="O47" s="157" t="str">
        <f t="shared" si="1"/>
        <v>NO</v>
      </c>
      <c r="P47" s="34">
        <v>50</v>
      </c>
      <c r="Q47" s="33">
        <v>1.5</v>
      </c>
      <c r="R47" s="34">
        <v>4</v>
      </c>
      <c r="S47" s="29">
        <v>4</v>
      </c>
      <c r="T47" s="34">
        <v>115</v>
      </c>
      <c r="U47" s="31">
        <v>282</v>
      </c>
      <c r="V47" s="29">
        <v>27.5</v>
      </c>
      <c r="W47" s="30">
        <f t="shared" si="2"/>
        <v>82.5</v>
      </c>
      <c r="X47" s="146">
        <f t="shared" si="3"/>
        <v>590</v>
      </c>
      <c r="Y47" s="147">
        <f t="shared" si="4"/>
        <v>2.1033868092691623</v>
      </c>
      <c r="Z47" s="130">
        <f t="shared" si="5"/>
        <v>526.5000668449198</v>
      </c>
      <c r="AA47" s="131">
        <f t="shared" si="6"/>
        <v>1</v>
      </c>
      <c r="AB47" s="128">
        <f t="shared" si="7"/>
        <v>169.155</v>
      </c>
      <c r="AC47" s="33">
        <v>17.2</v>
      </c>
      <c r="AD47" s="52">
        <f t="shared" si="8"/>
        <v>68.6046511627907</v>
      </c>
      <c r="AE47" s="34">
        <v>30</v>
      </c>
      <c r="AF47" s="34">
        <v>1.6</v>
      </c>
      <c r="AG47" s="31">
        <v>29</v>
      </c>
      <c r="AH47" s="31">
        <v>0</v>
      </c>
      <c r="AI47" s="112">
        <f t="shared" si="9"/>
        <v>1464.1000000000001</v>
      </c>
      <c r="AJ47" s="31">
        <v>115</v>
      </c>
      <c r="AK47" s="30">
        <f t="shared" si="10"/>
        <v>0.6672304374216065</v>
      </c>
      <c r="AL47" s="52">
        <f t="shared" si="11"/>
        <v>1803.1902571318917</v>
      </c>
      <c r="AM47" s="52">
        <f t="shared" si="12"/>
        <v>4642.024411411026</v>
      </c>
      <c r="AN47" s="52">
        <f t="shared" si="13"/>
        <v>2049.7400000000002</v>
      </c>
      <c r="AO47" s="30">
        <f t="shared" si="14"/>
        <v>438.81637014119855</v>
      </c>
      <c r="AP47" s="128">
        <f t="shared" si="15"/>
        <v>63.82783565690161</v>
      </c>
      <c r="AQ47" s="91" t="str">
        <f t="shared" si="16"/>
        <v>OK</v>
      </c>
      <c r="AR47" s="213">
        <f t="shared" si="17"/>
        <v>759.1</v>
      </c>
      <c r="AS47" s="255">
        <f t="shared" si="18"/>
        <v>63.25833333333333</v>
      </c>
      <c r="AT47" s="52">
        <f t="shared" si="19"/>
        <v>2702.5</v>
      </c>
      <c r="AU47" s="52">
        <f t="shared" si="20"/>
        <v>225.20833333333334</v>
      </c>
      <c r="AV47" s="31">
        <v>612</v>
      </c>
      <c r="AW47" s="63">
        <f t="shared" si="21"/>
        <v>71.758671875</v>
      </c>
      <c r="AX47" s="119"/>
      <c r="AY47" s="125">
        <v>0</v>
      </c>
      <c r="AZ47" s="256">
        <f t="shared" si="22"/>
        <v>2.948306595365419</v>
      </c>
      <c r="BA47" s="67">
        <v>1448</v>
      </c>
      <c r="BB47" s="257">
        <f t="shared" si="23"/>
        <v>0.5503802799743281</v>
      </c>
      <c r="BC47" s="63">
        <f t="shared" si="24"/>
        <v>0.828156540838508</v>
      </c>
      <c r="BD47" s="130">
        <f t="shared" si="25"/>
        <v>0.9166666666666667</v>
      </c>
      <c r="BE47" s="91" t="str">
        <f t="shared" si="26"/>
        <v>OK</v>
      </c>
      <c r="BF47" s="91" t="str">
        <f t="shared" si="27"/>
        <v>OK</v>
      </c>
    </row>
    <row r="48" spans="2:58" ht="12" thickBot="1">
      <c r="B48" s="165">
        <v>1</v>
      </c>
      <c r="C48" s="504">
        <f t="shared" si="0"/>
        <v>0.875</v>
      </c>
      <c r="D48" s="54"/>
      <c r="E48" s="393" t="s">
        <v>177</v>
      </c>
      <c r="F48" s="62" t="s">
        <v>178</v>
      </c>
      <c r="G48" s="115" t="s">
        <v>158</v>
      </c>
      <c r="H48" s="218">
        <v>35</v>
      </c>
      <c r="I48" s="273"/>
      <c r="J48" s="100">
        <v>10.3</v>
      </c>
      <c r="K48" s="100">
        <v>17.7</v>
      </c>
      <c r="L48" s="116">
        <v>0.3</v>
      </c>
      <c r="M48" s="100"/>
      <c r="N48" s="156"/>
      <c r="O48" s="158" t="str">
        <f t="shared" si="1"/>
        <v>NO</v>
      </c>
      <c r="P48" s="109">
        <v>50</v>
      </c>
      <c r="Q48" s="95">
        <v>1.5</v>
      </c>
      <c r="R48" s="109">
        <v>4</v>
      </c>
      <c r="S48" s="100">
        <v>4</v>
      </c>
      <c r="T48" s="109">
        <v>115</v>
      </c>
      <c r="U48" s="183">
        <v>270</v>
      </c>
      <c r="V48" s="100">
        <v>25</v>
      </c>
      <c r="W48" s="107">
        <f t="shared" si="2"/>
        <v>75</v>
      </c>
      <c r="X48" s="105">
        <f t="shared" si="3"/>
        <v>515</v>
      </c>
      <c r="Y48" s="117">
        <f t="shared" si="4"/>
        <v>2.019607843137255</v>
      </c>
      <c r="Z48" s="384">
        <f t="shared" si="5"/>
        <v>457.32757352941184</v>
      </c>
      <c r="AA48" s="375">
        <f t="shared" si="6"/>
        <v>1</v>
      </c>
      <c r="AB48" s="308">
        <f t="shared" si="7"/>
        <v>159.29999999999998</v>
      </c>
      <c r="AC48" s="36">
        <v>17.2</v>
      </c>
      <c r="AD48" s="376">
        <f t="shared" si="8"/>
        <v>59.88372093023256</v>
      </c>
      <c r="AE48" s="286">
        <v>30</v>
      </c>
      <c r="AF48" s="286">
        <v>1.6</v>
      </c>
      <c r="AG48" s="35">
        <v>29</v>
      </c>
      <c r="AH48" s="35">
        <v>0</v>
      </c>
      <c r="AI48" s="377">
        <f t="shared" si="9"/>
        <v>1398.5</v>
      </c>
      <c r="AJ48" s="108">
        <v>115</v>
      </c>
      <c r="AK48" s="107">
        <f t="shared" si="10"/>
        <v>0.697213595499958</v>
      </c>
      <c r="AL48" s="376">
        <f t="shared" si="11"/>
        <v>1804.0401783561413</v>
      </c>
      <c r="AM48" s="376">
        <f t="shared" si="12"/>
        <v>4564.664285369826</v>
      </c>
      <c r="AN48" s="376">
        <f t="shared" si="13"/>
        <v>1957.8999999999999</v>
      </c>
      <c r="AO48" s="148">
        <f t="shared" si="14"/>
        <v>356.61439729451763</v>
      </c>
      <c r="AP48" s="129">
        <f t="shared" si="15"/>
        <v>57.05830356712282</v>
      </c>
      <c r="AQ48" s="311" t="str">
        <f t="shared" si="16"/>
        <v>OK</v>
      </c>
      <c r="AR48" s="378">
        <f t="shared" si="17"/>
        <v>723.5</v>
      </c>
      <c r="AS48" s="379">
        <f t="shared" si="18"/>
        <v>60.291666666666664</v>
      </c>
      <c r="AT48" s="376">
        <f t="shared" si="19"/>
        <v>2587.5</v>
      </c>
      <c r="AU48" s="376">
        <f t="shared" si="20"/>
        <v>215.625</v>
      </c>
      <c r="AV48" s="35">
        <v>510</v>
      </c>
      <c r="AW48" s="380">
        <f t="shared" si="21"/>
        <v>56.5234375</v>
      </c>
      <c r="AX48" s="381"/>
      <c r="AY48" s="382">
        <v>0</v>
      </c>
      <c r="AZ48" s="383">
        <f t="shared" si="22"/>
        <v>2.9901960784313726</v>
      </c>
      <c r="BA48" s="368">
        <v>1230</v>
      </c>
      <c r="BB48" s="310">
        <f t="shared" si="23"/>
        <v>0.4299450114097363</v>
      </c>
      <c r="BC48" s="380">
        <f t="shared" si="24"/>
        <v>0.6375581502312868</v>
      </c>
      <c r="BD48" s="384">
        <f t="shared" si="25"/>
        <v>0.8333333333333334</v>
      </c>
      <c r="BE48" s="385" t="str">
        <f t="shared" si="26"/>
        <v>OK</v>
      </c>
      <c r="BF48" s="385" t="str">
        <f t="shared" si="27"/>
        <v>OK</v>
      </c>
    </row>
    <row r="50" spans="5:12" ht="11.25">
      <c r="E50" s="241"/>
      <c r="F50" s="64"/>
      <c r="G50" s="64" t="s">
        <v>111</v>
      </c>
      <c r="H50" s="64"/>
      <c r="I50" s="64"/>
      <c r="J50" s="64"/>
      <c r="K50" s="64"/>
      <c r="L50" s="13"/>
    </row>
    <row r="51" spans="2:12" ht="12" thickBot="1">
      <c r="B51" s="13"/>
      <c r="E51" s="276"/>
      <c r="F51" s="277" t="s">
        <v>120</v>
      </c>
      <c r="G51" s="278"/>
      <c r="H51" s="278"/>
      <c r="I51" s="279" t="s">
        <v>121</v>
      </c>
      <c r="J51" s="279"/>
      <c r="K51" s="280" t="s">
        <v>122</v>
      </c>
      <c r="L51" s="167"/>
    </row>
    <row r="52" spans="2:12" ht="12" thickTop="1">
      <c r="B52" s="167"/>
      <c r="C52" s="169"/>
      <c r="E52" s="241"/>
      <c r="F52" s="434" t="s">
        <v>5</v>
      </c>
      <c r="J52" s="281" t="s">
        <v>195</v>
      </c>
      <c r="K52" s="167"/>
      <c r="L52" s="167"/>
    </row>
    <row r="53" spans="2:12" ht="11.25">
      <c r="B53" s="167"/>
      <c r="C53" s="169"/>
      <c r="E53" s="276"/>
      <c r="F53" s="8"/>
      <c r="G53" s="75"/>
      <c r="H53" s="8" t="s">
        <v>21</v>
      </c>
      <c r="I53" s="75"/>
      <c r="J53" s="8"/>
      <c r="K53" s="269"/>
      <c r="L53" s="167"/>
    </row>
    <row r="54" spans="2:12" ht="11.25">
      <c r="B54" s="167"/>
      <c r="C54" s="169"/>
      <c r="E54" s="276"/>
      <c r="F54" s="8"/>
      <c r="J54" s="13"/>
      <c r="K54" s="10"/>
      <c r="L54" s="13"/>
    </row>
    <row r="55" spans="2:69" ht="12" thickBot="1">
      <c r="B55" s="36"/>
      <c r="E55" s="433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</row>
    <row r="56" spans="2:70" ht="12" thickBot="1">
      <c r="B56" s="138"/>
      <c r="C56" s="502"/>
      <c r="D56" s="54"/>
      <c r="E56" s="431" t="s">
        <v>209</v>
      </c>
      <c r="F56" s="432" t="s">
        <v>194</v>
      </c>
      <c r="G56" s="36"/>
      <c r="H56" s="36"/>
      <c r="I56" s="177"/>
      <c r="J56" s="36"/>
      <c r="K56" s="408"/>
      <c r="L56" s="36"/>
      <c r="M56" s="408"/>
      <c r="N56" s="433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151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BB56" s="151"/>
      <c r="BC56" s="137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122"/>
      <c r="BR56" s="460"/>
    </row>
    <row r="57" spans="2:69" ht="11.25">
      <c r="B57" s="446" t="s">
        <v>244</v>
      </c>
      <c r="C57" s="497" t="s">
        <v>56</v>
      </c>
      <c r="D57" s="54"/>
      <c r="E57" s="76"/>
      <c r="F57" s="56"/>
      <c r="G57" s="6" t="s">
        <v>58</v>
      </c>
      <c r="H57" s="6"/>
      <c r="I57" s="188"/>
      <c r="J57" s="6"/>
      <c r="K57" s="6"/>
      <c r="L57" s="6"/>
      <c r="M57" s="220"/>
      <c r="N57" s="243"/>
      <c r="O57" s="6"/>
      <c r="P57" s="3"/>
      <c r="Q57" s="38" t="s">
        <v>34</v>
      </c>
      <c r="R57" s="70"/>
      <c r="S57" s="26" t="s">
        <v>61</v>
      </c>
      <c r="T57" s="50"/>
      <c r="U57" s="5" t="s">
        <v>25</v>
      </c>
      <c r="V57" s="4"/>
      <c r="W57" s="4"/>
      <c r="X57" s="14" t="s">
        <v>49</v>
      </c>
      <c r="Y57" s="7"/>
      <c r="Z57" s="37"/>
      <c r="AA57" s="163" t="s">
        <v>96</v>
      </c>
      <c r="AB57" s="159"/>
      <c r="AC57" s="38" t="s">
        <v>17</v>
      </c>
      <c r="AD57" s="4"/>
      <c r="AE57" s="15" t="s">
        <v>7</v>
      </c>
      <c r="AF57" s="15" t="s">
        <v>7</v>
      </c>
      <c r="AG57" s="259" t="s">
        <v>7</v>
      </c>
      <c r="AH57" s="14" t="s">
        <v>7</v>
      </c>
      <c r="AI57" s="15" t="s">
        <v>7</v>
      </c>
      <c r="AJ57" s="42" t="s">
        <v>113</v>
      </c>
      <c r="AK57" s="45" t="s">
        <v>8</v>
      </c>
      <c r="AL57" s="98" t="s">
        <v>8</v>
      </c>
      <c r="AM57" s="43" t="s">
        <v>8</v>
      </c>
      <c r="AN57" s="43" t="s">
        <v>113</v>
      </c>
      <c r="AO57" s="43" t="s">
        <v>113</v>
      </c>
      <c r="AP57" s="43" t="s">
        <v>97</v>
      </c>
      <c r="AQ57" s="43" t="s">
        <v>97</v>
      </c>
      <c r="AR57" s="12" t="s">
        <v>98</v>
      </c>
      <c r="AS57" s="12" t="s">
        <v>98</v>
      </c>
      <c r="AT57" s="12" t="s">
        <v>5</v>
      </c>
      <c r="AU57" s="12" t="s">
        <v>195</v>
      </c>
      <c r="AV57" s="419" t="s">
        <v>196</v>
      </c>
      <c r="AW57" s="419" t="s">
        <v>197</v>
      </c>
      <c r="AX57" s="419" t="s">
        <v>198</v>
      </c>
      <c r="AY57" s="419" t="s">
        <v>199</v>
      </c>
      <c r="AZ57" s="420" t="s">
        <v>14</v>
      </c>
      <c r="BA57" s="421" t="s">
        <v>36</v>
      </c>
      <c r="BB57" s="39" t="s">
        <v>50</v>
      </c>
      <c r="BC57" s="42" t="s">
        <v>7</v>
      </c>
      <c r="BD57" s="14" t="s">
        <v>7</v>
      </c>
      <c r="BE57" s="15" t="s">
        <v>8</v>
      </c>
      <c r="BF57" s="15" t="s">
        <v>8</v>
      </c>
      <c r="BG57" s="42" t="s">
        <v>34</v>
      </c>
      <c r="BH57" s="41" t="s">
        <v>14</v>
      </c>
      <c r="BI57" s="41" t="s">
        <v>51</v>
      </c>
      <c r="BJ57" s="15" t="s">
        <v>9</v>
      </c>
      <c r="BK57" s="15" t="s">
        <v>10</v>
      </c>
      <c r="BL57" s="17" t="s">
        <v>29</v>
      </c>
      <c r="BM57" s="42" t="s">
        <v>41</v>
      </c>
      <c r="BN57" s="41" t="s">
        <v>42</v>
      </c>
      <c r="BO57" s="57" t="s">
        <v>99</v>
      </c>
      <c r="BP57" s="55" t="s">
        <v>7</v>
      </c>
      <c r="BQ57" s="56" t="s">
        <v>8</v>
      </c>
    </row>
    <row r="58" spans="2:69" ht="11.25">
      <c r="B58" s="93"/>
      <c r="C58" s="498"/>
      <c r="D58" s="54"/>
      <c r="E58" s="76"/>
      <c r="F58" s="44"/>
      <c r="G58" s="64"/>
      <c r="H58" s="64"/>
      <c r="I58" s="65"/>
      <c r="J58" s="64"/>
      <c r="K58" s="64"/>
      <c r="L58" s="64"/>
      <c r="M58" s="247"/>
      <c r="N58" s="244"/>
      <c r="O58" s="64"/>
      <c r="P58" s="69"/>
      <c r="Q58" s="14" t="s">
        <v>1</v>
      </c>
      <c r="R58" s="71"/>
      <c r="S58" s="72" t="s">
        <v>62</v>
      </c>
      <c r="T58" s="72" t="s">
        <v>63</v>
      </c>
      <c r="U58" s="12" t="s">
        <v>26</v>
      </c>
      <c r="V58" s="11"/>
      <c r="W58" s="11"/>
      <c r="Y58" s="16"/>
      <c r="Z58" s="41" t="s">
        <v>51</v>
      </c>
      <c r="AA58" s="160" t="s">
        <v>74</v>
      </c>
      <c r="AB58" s="41" t="s">
        <v>52</v>
      </c>
      <c r="AC58" s="14" t="s">
        <v>18</v>
      </c>
      <c r="AD58" s="15" t="s">
        <v>30</v>
      </c>
      <c r="AE58" s="15" t="s">
        <v>70</v>
      </c>
      <c r="AF58" s="15" t="s">
        <v>34</v>
      </c>
      <c r="AG58" s="15" t="s">
        <v>61</v>
      </c>
      <c r="AH58" s="98" t="s">
        <v>87</v>
      </c>
      <c r="AI58" s="15" t="s">
        <v>62</v>
      </c>
      <c r="AJ58" s="42" t="s">
        <v>7</v>
      </c>
      <c r="AK58" s="10"/>
      <c r="AL58" s="98" t="s">
        <v>67</v>
      </c>
      <c r="AM58" s="43" t="s">
        <v>81</v>
      </c>
      <c r="AN58" s="43" t="s">
        <v>200</v>
      </c>
      <c r="AO58" s="43" t="s">
        <v>200</v>
      </c>
      <c r="AP58" s="43" t="s">
        <v>15</v>
      </c>
      <c r="AQ58" s="43" t="s">
        <v>15</v>
      </c>
      <c r="AR58" s="12"/>
      <c r="AS58" s="12"/>
      <c r="AT58" s="12"/>
      <c r="AU58" s="12"/>
      <c r="AV58" s="419"/>
      <c r="AW58" s="419"/>
      <c r="AX58" s="419"/>
      <c r="AY58" s="419"/>
      <c r="AZ58" s="76"/>
      <c r="BA58" s="422"/>
      <c r="BB58" s="44" t="s">
        <v>37</v>
      </c>
      <c r="BC58" s="42" t="s">
        <v>85</v>
      </c>
      <c r="BD58" s="13"/>
      <c r="BE58" s="11"/>
      <c r="BF58" s="11"/>
      <c r="BG58" s="42" t="s">
        <v>33</v>
      </c>
      <c r="BH58" s="17" t="s">
        <v>85</v>
      </c>
      <c r="BI58" s="40" t="s">
        <v>34</v>
      </c>
      <c r="BJ58" s="10"/>
      <c r="BK58" s="13"/>
      <c r="BL58" s="17" t="s">
        <v>46</v>
      </c>
      <c r="BM58" s="42" t="s">
        <v>13</v>
      </c>
      <c r="BN58" s="41"/>
      <c r="BO58" s="54"/>
      <c r="BP58" s="58" t="s">
        <v>39</v>
      </c>
      <c r="BQ58" s="44" t="s">
        <v>39</v>
      </c>
    </row>
    <row r="59" spans="2:69" ht="11.25">
      <c r="B59" s="93"/>
      <c r="C59" s="498"/>
      <c r="D59" s="54"/>
      <c r="E59" s="76"/>
      <c r="F59" s="44"/>
      <c r="G59" s="73" t="s">
        <v>59</v>
      </c>
      <c r="H59" s="10" t="s">
        <v>56</v>
      </c>
      <c r="I59" s="269" t="s">
        <v>88</v>
      </c>
      <c r="J59" s="15" t="s">
        <v>47</v>
      </c>
      <c r="K59" s="15" t="s">
        <v>0</v>
      </c>
      <c r="L59" s="15" t="s">
        <v>2</v>
      </c>
      <c r="M59" s="43" t="s">
        <v>90</v>
      </c>
      <c r="N59" s="245" t="s">
        <v>91</v>
      </c>
      <c r="O59" s="15" t="s">
        <v>95</v>
      </c>
      <c r="P59" s="15" t="s">
        <v>3</v>
      </c>
      <c r="Q59" s="14" t="s">
        <v>19</v>
      </c>
      <c r="R59" s="15" t="s">
        <v>4</v>
      </c>
      <c r="S59" s="15" t="s">
        <v>19</v>
      </c>
      <c r="T59" s="15" t="s">
        <v>56</v>
      </c>
      <c r="U59" s="12" t="s">
        <v>16</v>
      </c>
      <c r="V59" s="15" t="s">
        <v>21</v>
      </c>
      <c r="W59" s="15" t="s">
        <v>48</v>
      </c>
      <c r="X59" s="14" t="s">
        <v>6</v>
      </c>
      <c r="Y59" s="17" t="s">
        <v>5</v>
      </c>
      <c r="Z59" s="41" t="s">
        <v>53</v>
      </c>
      <c r="AA59" s="161"/>
      <c r="AB59" s="41"/>
      <c r="AC59" s="14" t="s">
        <v>32</v>
      </c>
      <c r="AD59" s="15" t="s">
        <v>31</v>
      </c>
      <c r="AE59" s="15" t="s">
        <v>71</v>
      </c>
      <c r="AF59" s="15" t="s">
        <v>72</v>
      </c>
      <c r="AG59" s="15"/>
      <c r="AH59" s="98" t="s">
        <v>86</v>
      </c>
      <c r="AI59" s="15"/>
      <c r="AJ59" s="15" t="s">
        <v>111</v>
      </c>
      <c r="AK59" s="11"/>
      <c r="AL59" s="98" t="s">
        <v>27</v>
      </c>
      <c r="AM59" s="43" t="s">
        <v>201</v>
      </c>
      <c r="AN59" s="43" t="s">
        <v>111</v>
      </c>
      <c r="AO59" s="43" t="s">
        <v>202</v>
      </c>
      <c r="AP59" s="15" t="s">
        <v>83</v>
      </c>
      <c r="AQ59" s="15" t="s">
        <v>114</v>
      </c>
      <c r="AR59" s="42" t="s">
        <v>83</v>
      </c>
      <c r="AS59" s="42" t="s">
        <v>114</v>
      </c>
      <c r="AT59" s="42"/>
      <c r="AU59" s="42"/>
      <c r="AV59" s="76"/>
      <c r="AW59" s="76"/>
      <c r="AX59" s="76"/>
      <c r="AY59" s="76"/>
      <c r="AZ59" s="76"/>
      <c r="BA59" s="422"/>
      <c r="BB59" s="41" t="s">
        <v>54</v>
      </c>
      <c r="BC59" s="134"/>
      <c r="BD59" s="11"/>
      <c r="BE59" s="11"/>
      <c r="BF59" s="11"/>
      <c r="BG59" s="11"/>
      <c r="BH59" s="16"/>
      <c r="BI59" s="40" t="s">
        <v>84</v>
      </c>
      <c r="BJ59" s="10"/>
      <c r="BK59" s="11"/>
      <c r="BL59" s="54"/>
      <c r="BM59" s="10"/>
      <c r="BN59" s="16"/>
      <c r="BO59" s="93"/>
      <c r="BP59" s="93"/>
      <c r="BQ59" s="93"/>
    </row>
    <row r="60" spans="2:69" ht="12" thickBot="1">
      <c r="B60" s="381"/>
      <c r="C60" s="499" t="s">
        <v>246</v>
      </c>
      <c r="D60" s="54"/>
      <c r="E60" s="77"/>
      <c r="F60" s="62"/>
      <c r="G60" s="18" t="s">
        <v>60</v>
      </c>
      <c r="H60" s="18" t="s">
        <v>11</v>
      </c>
      <c r="I60" s="270"/>
      <c r="J60" s="1" t="s">
        <v>43</v>
      </c>
      <c r="K60" s="1" t="s">
        <v>40</v>
      </c>
      <c r="L60" s="1" t="s">
        <v>40</v>
      </c>
      <c r="M60" s="48"/>
      <c r="N60" s="246"/>
      <c r="O60" s="1"/>
      <c r="P60" s="1" t="s">
        <v>44</v>
      </c>
      <c r="Q60" s="20" t="s">
        <v>40</v>
      </c>
      <c r="R60" s="1" t="s">
        <v>44</v>
      </c>
      <c r="S60" s="1" t="s">
        <v>40</v>
      </c>
      <c r="T60" s="1" t="s">
        <v>57</v>
      </c>
      <c r="U60" s="19" t="s">
        <v>40</v>
      </c>
      <c r="V60" s="1" t="s">
        <v>12</v>
      </c>
      <c r="W60" s="1" t="s">
        <v>40</v>
      </c>
      <c r="X60" s="20" t="s">
        <v>35</v>
      </c>
      <c r="Y60" s="21" t="s">
        <v>40</v>
      </c>
      <c r="Z60" s="41" t="s">
        <v>45</v>
      </c>
      <c r="AA60" s="161"/>
      <c r="AB60" s="17" t="s">
        <v>35</v>
      </c>
      <c r="AC60" s="14" t="s">
        <v>24</v>
      </c>
      <c r="AD60" s="15" t="s">
        <v>22</v>
      </c>
      <c r="AE60" s="15" t="s">
        <v>28</v>
      </c>
      <c r="AF60" s="15" t="s">
        <v>28</v>
      </c>
      <c r="AG60" s="42" t="s">
        <v>28</v>
      </c>
      <c r="AH60" s="42" t="s">
        <v>11</v>
      </c>
      <c r="AI60" s="15" t="s">
        <v>11</v>
      </c>
      <c r="AJ60" s="42" t="s">
        <v>112</v>
      </c>
      <c r="AK60" s="45" t="s">
        <v>28</v>
      </c>
      <c r="AL60" s="11"/>
      <c r="AM60" s="43" t="s">
        <v>11</v>
      </c>
      <c r="AN60" s="43" t="s">
        <v>112</v>
      </c>
      <c r="AO60" s="43" t="s">
        <v>112</v>
      </c>
      <c r="AP60" s="215" t="s">
        <v>11</v>
      </c>
      <c r="AQ60" s="354" t="s">
        <v>112</v>
      </c>
      <c r="AR60" s="309" t="s">
        <v>11</v>
      </c>
      <c r="AS60" s="309" t="s">
        <v>11</v>
      </c>
      <c r="AT60" s="309" t="s">
        <v>12</v>
      </c>
      <c r="AU60" s="309" t="s">
        <v>12</v>
      </c>
      <c r="AV60" s="305" t="s">
        <v>45</v>
      </c>
      <c r="AW60" s="305" t="s">
        <v>45</v>
      </c>
      <c r="AX60" s="305" t="s">
        <v>45</v>
      </c>
      <c r="AY60" s="305" t="s">
        <v>45</v>
      </c>
      <c r="AZ60" s="305" t="s">
        <v>45</v>
      </c>
      <c r="BA60" s="422" t="s">
        <v>35</v>
      </c>
      <c r="BB60" s="57" t="s">
        <v>23</v>
      </c>
      <c r="BC60" s="135" t="s">
        <v>11</v>
      </c>
      <c r="BD60" s="59" t="s">
        <v>20</v>
      </c>
      <c r="BE60" s="60" t="s">
        <v>11</v>
      </c>
      <c r="BF60" s="60" t="s">
        <v>20</v>
      </c>
      <c r="BG60" s="47" t="s">
        <v>38</v>
      </c>
      <c r="BH60" s="46" t="s">
        <v>45</v>
      </c>
      <c r="BI60" s="46" t="s">
        <v>45</v>
      </c>
      <c r="BJ60" s="1" t="s">
        <v>40</v>
      </c>
      <c r="BK60" s="1" t="s">
        <v>40</v>
      </c>
      <c r="BL60" s="49" t="s">
        <v>38</v>
      </c>
      <c r="BM60" s="2" t="s">
        <v>40</v>
      </c>
      <c r="BN60" s="46" t="s">
        <v>40</v>
      </c>
      <c r="BO60" s="136" t="s">
        <v>40</v>
      </c>
      <c r="BP60" s="61" t="s">
        <v>23</v>
      </c>
      <c r="BQ60" s="61" t="s">
        <v>23</v>
      </c>
    </row>
    <row r="61" spans="2:69" ht="11.25">
      <c r="B61" s="118">
        <v>1</v>
      </c>
      <c r="C61" s="503">
        <f aca="true" t="shared" si="28" ref="C61:C66">B61*V61*$H61/1000</f>
        <v>1.08</v>
      </c>
      <c r="D61" s="54"/>
      <c r="E61" s="123" t="s">
        <v>136</v>
      </c>
      <c r="F61" s="78" t="s">
        <v>186</v>
      </c>
      <c r="G61" s="179" t="s">
        <v>203</v>
      </c>
      <c r="H61" s="139">
        <v>40</v>
      </c>
      <c r="I61" s="271"/>
      <c r="J61" s="22">
        <v>11.8</v>
      </c>
      <c r="K61" s="22">
        <v>17.9</v>
      </c>
      <c r="L61" s="25">
        <v>0.315</v>
      </c>
      <c r="M61" s="248"/>
      <c r="N61" s="154"/>
      <c r="O61" s="208" t="str">
        <f aca="true" t="shared" si="29" ref="O61:O66">IF(M61&lt;1.1*((N61*29000)/P61)^0.5,1,"NO")</f>
        <v>NO</v>
      </c>
      <c r="P61" s="4">
        <v>50</v>
      </c>
      <c r="Q61" s="6">
        <v>1.5</v>
      </c>
      <c r="R61" s="4">
        <v>4</v>
      </c>
      <c r="S61" s="140">
        <v>4</v>
      </c>
      <c r="T61" s="4">
        <v>115</v>
      </c>
      <c r="U61" s="24">
        <v>285</v>
      </c>
      <c r="V61" s="22">
        <v>27</v>
      </c>
      <c r="W61" s="23">
        <f aca="true" t="shared" si="30" ref="W61:W66">MIN((V61/4)*12,U61)</f>
        <v>81</v>
      </c>
      <c r="X61" s="27">
        <f aca="true" t="shared" si="31" ref="X61:X66">J61*P61</f>
        <v>590</v>
      </c>
      <c r="Y61" s="28">
        <f aca="true" t="shared" si="32" ref="Y61:Y66">(J61*P61)/(0.85*R61*W61)</f>
        <v>2.142338416848221</v>
      </c>
      <c r="Z61" s="102">
        <f aca="true" t="shared" si="33" ref="Z61:Z66">(0.9*((J61*P61*(K61/2))+(0.85*R61*Y61*W61*(S61-(Y61/2)))))/12</f>
        <v>525.6382625272332</v>
      </c>
      <c r="AA61" s="162">
        <f aca="true" t="shared" si="34" ref="AA61:AA66">IF(I61="v",0.9,1)</f>
        <v>1</v>
      </c>
      <c r="AB61" s="209">
        <f aca="true" t="shared" si="35" ref="AB61:AB66">IF(O61="NO",AA61*0.6*P61*K61*L61,AA61*0.6*P61*K61*L61*O61)</f>
        <v>169.155</v>
      </c>
      <c r="AC61" s="6">
        <v>17.2</v>
      </c>
      <c r="AD61" s="143">
        <f aca="true" t="shared" si="36" ref="AD61:AD66">(X61/AC61)*2</f>
        <v>68.6046511627907</v>
      </c>
      <c r="AE61" s="4">
        <v>30</v>
      </c>
      <c r="AF61" s="4">
        <v>1.6</v>
      </c>
      <c r="AG61" s="141">
        <v>29</v>
      </c>
      <c r="AH61" s="141">
        <v>0</v>
      </c>
      <c r="AI61" s="144">
        <f aca="true" t="shared" si="37" ref="AI61:AI66">((AE61+AG61+AF61)*(U61/12))+H61+AH61</f>
        <v>1479.25</v>
      </c>
      <c r="AJ61" s="262">
        <v>9947</v>
      </c>
      <c r="AK61" s="24">
        <v>115</v>
      </c>
      <c r="AL61" s="142">
        <f aca="true" t="shared" si="38" ref="AL61:AL66">IF(0.25+(15/($F$8*V61*(U61/12))^0.5)&gt;0.5,IF(0.25+(15/($F$8*V61*(U61/12))^0.5)&gt;1,1,0.25+(15/($F$8*V61*(U61/12))^0.5)),0.5)</f>
        <v>0.6688539082916956</v>
      </c>
      <c r="AM61" s="143">
        <f aca="true" t="shared" si="39" ref="AM61:AM66">(AK61*AL61)*(U61/12)</f>
        <v>1826.8072370216935</v>
      </c>
      <c r="AN61" s="190">
        <v>4942</v>
      </c>
      <c r="AO61" s="290">
        <f aca="true" t="shared" si="40" ref="AO61:AO66">AN61*AL61</f>
        <v>3305.4760147775596</v>
      </c>
      <c r="AP61" s="143">
        <f aca="true" t="shared" si="41" ref="AP61:AP66">(1.2*AI61)+(1.6*AM61)</f>
        <v>4697.991579234709</v>
      </c>
      <c r="AQ61" s="85">
        <f aca="true" t="shared" si="42" ref="AQ61:AQ66">(1.2*AJ61)+(1.6*AO61)</f>
        <v>17225.161623644097</v>
      </c>
      <c r="AR61" s="252">
        <f aca="true" t="shared" si="43" ref="AR61:AS66">1.4*AI61</f>
        <v>2070.95</v>
      </c>
      <c r="AS61" s="85">
        <f t="shared" si="43"/>
        <v>13925.8</v>
      </c>
      <c r="AT61" s="423">
        <v>2</v>
      </c>
      <c r="AU61" s="423">
        <v>25</v>
      </c>
      <c r="AV61" s="290">
        <f aca="true" t="shared" si="44" ref="AV61:AV66">AQ61*AT61*AU61/V61/1000</f>
        <v>31.898447451192773</v>
      </c>
      <c r="AW61" s="290">
        <f aca="true" t="shared" si="45" ref="AW61:AW66">((V61/2)/AU61)*AV61</f>
        <v>17.225161623644098</v>
      </c>
      <c r="AX61" s="290">
        <f aca="true" t="shared" si="46" ref="AX61:AX66">AP61*AT61*(V61-AT61)/2000</f>
        <v>117.44978948086774</v>
      </c>
      <c r="AY61" s="290">
        <f aca="true" t="shared" si="47" ref="AY61:AY66">MAX((AR61*V61*V61)/8000,(AP61*V61*V61)/8000)</f>
        <v>428.10448265776284</v>
      </c>
      <c r="AZ61" s="23">
        <f aca="true" t="shared" si="48" ref="AZ61:AZ66">MAX(AV61+AX61,AW61+AY61)</f>
        <v>445.32964428140696</v>
      </c>
      <c r="BA61" s="51">
        <f aca="true" t="shared" si="49" ref="BA61:BA66">(AQ61*AU61/V61/1000)+(AP61*V61/2000)</f>
        <v>79.37211004526496</v>
      </c>
      <c r="BB61" s="90" t="str">
        <f aca="true" t="shared" si="50" ref="BB61:BB66">IF(AND(Z61&gt;AZ61,AB61&gt;BA61),"OK","NG")</f>
        <v>OK</v>
      </c>
      <c r="BC61" s="103">
        <f aca="true" t="shared" si="51" ref="BC61:BC66">((AF61+AG61)*(U61/12))+H61</f>
        <v>766.75</v>
      </c>
      <c r="BD61" s="145">
        <f aca="true" t="shared" si="52" ref="BD61:BD66">BC61/12</f>
        <v>63.895833333333336</v>
      </c>
      <c r="BE61" s="143">
        <f aca="true" t="shared" si="53" ref="BE61:BE66">AK61*(U61/12)</f>
        <v>2731.25</v>
      </c>
      <c r="BF61" s="143">
        <f aca="true" t="shared" si="54" ref="BF61:BF66">BE61/12</f>
        <v>227.60416666666666</v>
      </c>
      <c r="BG61" s="31">
        <v>612</v>
      </c>
      <c r="BH61" s="68">
        <f aca="true" t="shared" si="55" ref="BH61:BH66">((BC61*V61*V61)/8000)+(AJ61*AT61*AU61/V61/1000)</f>
        <v>88.29046412037036</v>
      </c>
      <c r="BI61" s="118"/>
      <c r="BJ61" s="126">
        <v>0</v>
      </c>
      <c r="BK61" s="237">
        <f aca="true" t="shared" si="56" ref="BK61:BK66">S61-Y61/2</f>
        <v>2.9288307915758898</v>
      </c>
      <c r="BL61" s="67">
        <v>1430</v>
      </c>
      <c r="BM61" s="162">
        <f aca="true" t="shared" si="57" ref="BM61:BM66">(5*(BD61)*((V61*12)^4))/(384*29000000*BG61)+((AJ61*(AT61*12)*((V61*12)/2)*((V61*12)^2-(AT61*12)^2-((V61*12)/2)^2))/(6*29000000*BG61*(V61*12)))</f>
        <v>0.604191411194219</v>
      </c>
      <c r="BN61" s="68">
        <f aca="true" t="shared" si="58" ref="BN61:BN66">(5*(BF61)*((V61*12)^4))/(384*29000000*BL61)+((AN61*(AT61*12)*((V61*12)/2)*((V61*12)^2-(AT61*12)^2-((V61*12)/2)^2))/(6*29000000*BL61*(V61*12)))</f>
        <v>0.8061539451923077</v>
      </c>
      <c r="BO61" s="102">
        <f aca="true" t="shared" si="59" ref="BO61:BO66">(V61/360)*12</f>
        <v>0.8999999999999999</v>
      </c>
      <c r="BP61" s="90" t="str">
        <f aca="true" t="shared" si="60" ref="BP61:BP66">IF(BM61&gt;BO61,"NG","OK")</f>
        <v>OK</v>
      </c>
      <c r="BQ61" s="90" t="str">
        <f aca="true" t="shared" si="61" ref="BQ61:BQ66">IF(BN61&gt;BO61,"NG","OK")</f>
        <v>OK</v>
      </c>
    </row>
    <row r="62" spans="2:69" ht="12" thickBot="1">
      <c r="B62" s="165">
        <v>1</v>
      </c>
      <c r="C62" s="504">
        <f t="shared" si="28"/>
        <v>1.08</v>
      </c>
      <c r="D62" s="54"/>
      <c r="E62" s="249" t="s">
        <v>137</v>
      </c>
      <c r="F62" s="178" t="s">
        <v>171</v>
      </c>
      <c r="G62" s="222" t="s">
        <v>203</v>
      </c>
      <c r="H62" s="222">
        <v>40</v>
      </c>
      <c r="I62" s="272"/>
      <c r="J62" s="29">
        <v>11.8</v>
      </c>
      <c r="K62" s="29">
        <v>17.9</v>
      </c>
      <c r="L62" s="32">
        <v>0.315</v>
      </c>
      <c r="M62" s="226"/>
      <c r="N62" s="155"/>
      <c r="O62" s="157" t="str">
        <f t="shared" si="29"/>
        <v>NO</v>
      </c>
      <c r="P62" s="34">
        <v>50</v>
      </c>
      <c r="Q62" s="33">
        <v>1.5</v>
      </c>
      <c r="R62" s="34">
        <v>4</v>
      </c>
      <c r="S62" s="29">
        <v>4</v>
      </c>
      <c r="T62" s="34">
        <v>115</v>
      </c>
      <c r="U62" s="31">
        <v>285</v>
      </c>
      <c r="V62" s="29">
        <v>27</v>
      </c>
      <c r="W62" s="30">
        <f t="shared" si="30"/>
        <v>81</v>
      </c>
      <c r="X62" s="146">
        <f t="shared" si="31"/>
        <v>590</v>
      </c>
      <c r="Y62" s="147">
        <f t="shared" si="32"/>
        <v>2.142338416848221</v>
      </c>
      <c r="Z62" s="211">
        <f t="shared" si="33"/>
        <v>525.6382625272332</v>
      </c>
      <c r="AA62" s="132">
        <f t="shared" si="34"/>
        <v>1</v>
      </c>
      <c r="AB62" s="128">
        <f t="shared" si="35"/>
        <v>169.155</v>
      </c>
      <c r="AC62" s="227">
        <v>17.2</v>
      </c>
      <c r="AD62" s="52">
        <f t="shared" si="36"/>
        <v>68.6046511627907</v>
      </c>
      <c r="AE62" s="34">
        <v>30</v>
      </c>
      <c r="AF62" s="34">
        <v>1.6</v>
      </c>
      <c r="AG62" s="226">
        <v>29</v>
      </c>
      <c r="AH62" s="226">
        <v>0</v>
      </c>
      <c r="AI62" s="112">
        <f t="shared" si="37"/>
        <v>1479.25</v>
      </c>
      <c r="AJ62" s="263">
        <v>9947</v>
      </c>
      <c r="AK62" s="31">
        <v>115</v>
      </c>
      <c r="AL62" s="30">
        <f t="shared" si="38"/>
        <v>0.6688539082916956</v>
      </c>
      <c r="AM62" s="52">
        <f t="shared" si="39"/>
        <v>1826.8072370216935</v>
      </c>
      <c r="AN62" s="265">
        <v>4942</v>
      </c>
      <c r="AO62" s="252">
        <f t="shared" si="40"/>
        <v>3305.4760147775596</v>
      </c>
      <c r="AP62" s="52">
        <f t="shared" si="41"/>
        <v>4697.991579234709</v>
      </c>
      <c r="AQ62" s="52">
        <f t="shared" si="42"/>
        <v>17225.161623644097</v>
      </c>
      <c r="AR62" s="52">
        <f t="shared" si="43"/>
        <v>2070.95</v>
      </c>
      <c r="AS62" s="52">
        <f t="shared" si="43"/>
        <v>13925.8</v>
      </c>
      <c r="AT62" s="400">
        <v>2</v>
      </c>
      <c r="AU62" s="400">
        <v>25</v>
      </c>
      <c r="AV62" s="252">
        <f t="shared" si="44"/>
        <v>31.898447451192773</v>
      </c>
      <c r="AW62" s="252">
        <f t="shared" si="45"/>
        <v>17.225161623644098</v>
      </c>
      <c r="AX62" s="252">
        <f t="shared" si="46"/>
        <v>117.44978948086774</v>
      </c>
      <c r="AY62" s="252">
        <f t="shared" si="47"/>
        <v>428.10448265776284</v>
      </c>
      <c r="AZ62" s="124">
        <f t="shared" si="48"/>
        <v>445.32964428140696</v>
      </c>
      <c r="BA62" s="86">
        <f t="shared" si="49"/>
        <v>79.37211004526496</v>
      </c>
      <c r="BB62" s="91" t="str">
        <f t="shared" si="50"/>
        <v>OK</v>
      </c>
      <c r="BC62" s="114">
        <f t="shared" si="51"/>
        <v>766.75</v>
      </c>
      <c r="BD62" s="52">
        <f t="shared" si="52"/>
        <v>63.895833333333336</v>
      </c>
      <c r="BE62" s="52">
        <f t="shared" si="53"/>
        <v>2731.25</v>
      </c>
      <c r="BF62" s="52">
        <f t="shared" si="54"/>
        <v>227.60416666666666</v>
      </c>
      <c r="BG62" s="81">
        <v>612</v>
      </c>
      <c r="BH62" s="88">
        <f t="shared" si="55"/>
        <v>88.29046412037036</v>
      </c>
      <c r="BI62" s="119"/>
      <c r="BJ62" s="125">
        <v>0</v>
      </c>
      <c r="BK62" s="238">
        <f t="shared" si="56"/>
        <v>2.9288307915758898</v>
      </c>
      <c r="BL62" s="67">
        <v>1430</v>
      </c>
      <c r="BM62" s="132">
        <f t="shared" si="57"/>
        <v>0.604191411194219</v>
      </c>
      <c r="BN62" s="88">
        <f t="shared" si="58"/>
        <v>0.8061539451923077</v>
      </c>
      <c r="BO62" s="211">
        <f t="shared" si="59"/>
        <v>0.8999999999999999</v>
      </c>
      <c r="BP62" s="89" t="str">
        <f t="shared" si="60"/>
        <v>OK</v>
      </c>
      <c r="BQ62" s="89" t="str">
        <f t="shared" si="61"/>
        <v>OK</v>
      </c>
    </row>
    <row r="63" spans="2:69" ht="11.25">
      <c r="B63" s="254">
        <v>1</v>
      </c>
      <c r="C63" s="503">
        <f t="shared" si="28"/>
        <v>0.312</v>
      </c>
      <c r="D63" s="54"/>
      <c r="E63" s="249" t="s">
        <v>204</v>
      </c>
      <c r="F63" s="404" t="s">
        <v>184</v>
      </c>
      <c r="G63" s="222" t="s">
        <v>110</v>
      </c>
      <c r="H63" s="222">
        <v>16</v>
      </c>
      <c r="I63" s="272"/>
      <c r="J63" s="29">
        <v>4.71</v>
      </c>
      <c r="K63" s="29">
        <v>12</v>
      </c>
      <c r="L63" s="32">
        <v>0.22</v>
      </c>
      <c r="M63" s="226"/>
      <c r="N63" s="155"/>
      <c r="O63" s="157" t="str">
        <f t="shared" si="29"/>
        <v>NO</v>
      </c>
      <c r="P63" s="34">
        <v>50</v>
      </c>
      <c r="Q63" s="33">
        <v>1.5</v>
      </c>
      <c r="R63" s="34">
        <v>4</v>
      </c>
      <c r="S63" s="29">
        <v>4</v>
      </c>
      <c r="T63" s="34">
        <v>115</v>
      </c>
      <c r="U63" s="226">
        <v>78.75</v>
      </c>
      <c r="V63" s="29">
        <v>19.5</v>
      </c>
      <c r="W63" s="82">
        <f t="shared" si="30"/>
        <v>58.5</v>
      </c>
      <c r="X63" s="83">
        <f t="shared" si="31"/>
        <v>235.5</v>
      </c>
      <c r="Y63" s="84">
        <f t="shared" si="32"/>
        <v>1.1840120663650076</v>
      </c>
      <c r="Z63" s="211">
        <f t="shared" si="33"/>
        <v>166.16869343891403</v>
      </c>
      <c r="AA63" s="132">
        <f t="shared" si="34"/>
        <v>1</v>
      </c>
      <c r="AB63" s="128">
        <f t="shared" si="35"/>
        <v>79.2</v>
      </c>
      <c r="AC63" s="426">
        <v>17.2</v>
      </c>
      <c r="AD63" s="52">
        <f t="shared" si="36"/>
        <v>27.38372093023256</v>
      </c>
      <c r="AE63" s="34">
        <v>30</v>
      </c>
      <c r="AF63" s="34">
        <v>1.6</v>
      </c>
      <c r="AG63" s="226">
        <v>29</v>
      </c>
      <c r="AH63" s="226">
        <v>0</v>
      </c>
      <c r="AI63" s="112">
        <f t="shared" si="37"/>
        <v>413.6875</v>
      </c>
      <c r="AJ63" s="424">
        <v>13404</v>
      </c>
      <c r="AK63" s="226">
        <v>115</v>
      </c>
      <c r="AL63" s="30">
        <f t="shared" si="38"/>
        <v>1</v>
      </c>
      <c r="AM63" s="52">
        <f t="shared" si="39"/>
        <v>754.6875</v>
      </c>
      <c r="AN63" s="265">
        <v>3145</v>
      </c>
      <c r="AO63" s="85">
        <f t="shared" si="40"/>
        <v>3145</v>
      </c>
      <c r="AP63" s="52">
        <f t="shared" si="41"/>
        <v>1703.925</v>
      </c>
      <c r="AQ63" s="52">
        <f t="shared" si="42"/>
        <v>21116.8</v>
      </c>
      <c r="AR63" s="52">
        <f t="shared" si="43"/>
        <v>579.1624999999999</v>
      </c>
      <c r="AS63" s="52">
        <f t="shared" si="43"/>
        <v>18765.6</v>
      </c>
      <c r="AT63" s="265">
        <v>2</v>
      </c>
      <c r="AU63" s="265">
        <v>17.5</v>
      </c>
      <c r="AV63" s="52">
        <f t="shared" si="44"/>
        <v>37.90194871794872</v>
      </c>
      <c r="AW63" s="52">
        <f t="shared" si="45"/>
        <v>21.1168</v>
      </c>
      <c r="AX63" s="52">
        <f t="shared" si="46"/>
        <v>29.8186875</v>
      </c>
      <c r="AY63" s="52">
        <f t="shared" si="47"/>
        <v>80.98968515624999</v>
      </c>
      <c r="AZ63" s="30">
        <f t="shared" si="48"/>
        <v>102.10648515624999</v>
      </c>
      <c r="BA63" s="86">
        <f t="shared" si="49"/>
        <v>35.56424310897436</v>
      </c>
      <c r="BB63" s="91" t="str">
        <f t="shared" si="50"/>
        <v>OK</v>
      </c>
      <c r="BC63" s="120">
        <f t="shared" si="51"/>
        <v>216.8125</v>
      </c>
      <c r="BD63" s="52">
        <f t="shared" si="52"/>
        <v>18.067708333333332</v>
      </c>
      <c r="BE63" s="52">
        <f t="shared" si="53"/>
        <v>754.6875</v>
      </c>
      <c r="BF63" s="52">
        <f t="shared" si="54"/>
        <v>62.890625</v>
      </c>
      <c r="BG63" s="226">
        <v>103</v>
      </c>
      <c r="BH63" s="63">
        <f t="shared" si="55"/>
        <v>34.36383067908654</v>
      </c>
      <c r="BI63" s="362"/>
      <c r="BJ63" s="125">
        <v>0</v>
      </c>
      <c r="BK63" s="256">
        <f t="shared" si="56"/>
        <v>3.407993966817496</v>
      </c>
      <c r="BL63" s="425">
        <v>312</v>
      </c>
      <c r="BM63" s="132">
        <f t="shared" si="57"/>
        <v>0.5995425908369862</v>
      </c>
      <c r="BN63" s="88">
        <f t="shared" si="58"/>
        <v>0.2995021471973693</v>
      </c>
      <c r="BO63" s="130">
        <f t="shared" si="59"/>
        <v>0.65</v>
      </c>
      <c r="BP63" s="91" t="str">
        <f t="shared" si="60"/>
        <v>OK</v>
      </c>
      <c r="BQ63" s="91" t="str">
        <f t="shared" si="61"/>
        <v>OK</v>
      </c>
    </row>
    <row r="64" spans="2:69" ht="12" thickBot="1">
      <c r="B64" s="165">
        <v>1</v>
      </c>
      <c r="C64" s="507">
        <f t="shared" si="28"/>
        <v>0.312</v>
      </c>
      <c r="D64" s="54"/>
      <c r="E64" s="249" t="s">
        <v>205</v>
      </c>
      <c r="F64" s="404" t="s">
        <v>161</v>
      </c>
      <c r="G64" s="222" t="s">
        <v>110</v>
      </c>
      <c r="H64" s="222">
        <v>16</v>
      </c>
      <c r="I64" s="272"/>
      <c r="J64" s="29">
        <v>4.71</v>
      </c>
      <c r="K64" s="29">
        <v>12</v>
      </c>
      <c r="L64" s="32">
        <v>0.22</v>
      </c>
      <c r="M64" s="226"/>
      <c r="N64" s="155"/>
      <c r="O64" s="216" t="str">
        <f t="shared" si="29"/>
        <v>NO</v>
      </c>
      <c r="P64" s="11">
        <v>50</v>
      </c>
      <c r="Q64" s="13">
        <v>1.5</v>
      </c>
      <c r="R64" s="11">
        <v>4</v>
      </c>
      <c r="S64" s="74">
        <v>4</v>
      </c>
      <c r="T64" s="11">
        <v>115</v>
      </c>
      <c r="U64" s="81">
        <v>78.75</v>
      </c>
      <c r="V64" s="29">
        <v>19.5</v>
      </c>
      <c r="W64" s="82">
        <f t="shared" si="30"/>
        <v>58.5</v>
      </c>
      <c r="X64" s="83">
        <f t="shared" si="31"/>
        <v>235.5</v>
      </c>
      <c r="Y64" s="84">
        <f t="shared" si="32"/>
        <v>1.1840120663650076</v>
      </c>
      <c r="Z64" s="211">
        <f t="shared" si="33"/>
        <v>166.16869343891403</v>
      </c>
      <c r="AA64" s="132">
        <f t="shared" si="34"/>
        <v>1</v>
      </c>
      <c r="AB64" s="86">
        <f t="shared" si="35"/>
        <v>79.2</v>
      </c>
      <c r="AC64" s="64">
        <v>17.2</v>
      </c>
      <c r="AD64" s="52">
        <f t="shared" si="36"/>
        <v>27.38372093023256</v>
      </c>
      <c r="AE64" s="34">
        <v>30</v>
      </c>
      <c r="AF64" s="34">
        <v>1.6</v>
      </c>
      <c r="AG64" s="226">
        <v>29</v>
      </c>
      <c r="AH64" s="226">
        <v>0</v>
      </c>
      <c r="AI64" s="112">
        <f t="shared" si="37"/>
        <v>413.6875</v>
      </c>
      <c r="AJ64" s="424">
        <v>13404</v>
      </c>
      <c r="AK64" s="226">
        <v>115</v>
      </c>
      <c r="AL64" s="30">
        <f t="shared" si="38"/>
        <v>1</v>
      </c>
      <c r="AM64" s="52">
        <f t="shared" si="39"/>
        <v>754.6875</v>
      </c>
      <c r="AN64" s="265">
        <v>3145</v>
      </c>
      <c r="AO64" s="252">
        <f t="shared" si="40"/>
        <v>3145</v>
      </c>
      <c r="AP64" s="52">
        <f t="shared" si="41"/>
        <v>1703.925</v>
      </c>
      <c r="AQ64" s="52">
        <f t="shared" si="42"/>
        <v>21116.8</v>
      </c>
      <c r="AR64" s="52">
        <f t="shared" si="43"/>
        <v>579.1624999999999</v>
      </c>
      <c r="AS64" s="52">
        <f t="shared" si="43"/>
        <v>18765.6</v>
      </c>
      <c r="AT64" s="265">
        <v>2</v>
      </c>
      <c r="AU64" s="265">
        <v>17.5</v>
      </c>
      <c r="AV64" s="252">
        <f t="shared" si="44"/>
        <v>37.90194871794872</v>
      </c>
      <c r="AW64" s="252">
        <f t="shared" si="45"/>
        <v>21.1168</v>
      </c>
      <c r="AX64" s="252">
        <f t="shared" si="46"/>
        <v>29.8186875</v>
      </c>
      <c r="AY64" s="252">
        <f t="shared" si="47"/>
        <v>80.98968515624999</v>
      </c>
      <c r="AZ64" s="124">
        <f t="shared" si="48"/>
        <v>102.10648515624999</v>
      </c>
      <c r="BA64" s="86">
        <f t="shared" si="49"/>
        <v>35.56424310897436</v>
      </c>
      <c r="BB64" s="89" t="str">
        <f t="shared" si="50"/>
        <v>OK</v>
      </c>
      <c r="BC64" s="114">
        <f t="shared" si="51"/>
        <v>216.8125</v>
      </c>
      <c r="BD64" s="52">
        <f t="shared" si="52"/>
        <v>18.067708333333332</v>
      </c>
      <c r="BE64" s="52">
        <f t="shared" si="53"/>
        <v>754.6875</v>
      </c>
      <c r="BF64" s="52">
        <f t="shared" si="54"/>
        <v>62.890625</v>
      </c>
      <c r="BG64" s="226">
        <v>103</v>
      </c>
      <c r="BH64" s="88">
        <f t="shared" si="55"/>
        <v>34.36383067908654</v>
      </c>
      <c r="BI64" s="427"/>
      <c r="BJ64" s="69">
        <v>0</v>
      </c>
      <c r="BK64" s="238">
        <f t="shared" si="56"/>
        <v>3.407993966817496</v>
      </c>
      <c r="BL64" s="87">
        <v>312</v>
      </c>
      <c r="BM64" s="132">
        <f t="shared" si="57"/>
        <v>0.5995425908369862</v>
      </c>
      <c r="BN64" s="88">
        <f t="shared" si="58"/>
        <v>0.2995021471973693</v>
      </c>
      <c r="BO64" s="211">
        <f t="shared" si="59"/>
        <v>0.65</v>
      </c>
      <c r="BP64" s="89" t="str">
        <f t="shared" si="60"/>
        <v>OK</v>
      </c>
      <c r="BQ64" s="89" t="str">
        <f t="shared" si="61"/>
        <v>OK</v>
      </c>
    </row>
    <row r="65" spans="2:69" ht="11.25">
      <c r="B65" s="254">
        <v>1</v>
      </c>
      <c r="C65" s="503">
        <f t="shared" si="28"/>
        <v>0.312</v>
      </c>
      <c r="D65" s="54"/>
      <c r="E65" s="249" t="s">
        <v>175</v>
      </c>
      <c r="F65" s="404" t="s">
        <v>206</v>
      </c>
      <c r="G65" s="222" t="s">
        <v>110</v>
      </c>
      <c r="H65" s="222">
        <v>16</v>
      </c>
      <c r="I65" s="272"/>
      <c r="J65" s="29">
        <v>4.71</v>
      </c>
      <c r="K65" s="29">
        <v>12</v>
      </c>
      <c r="L65" s="32">
        <v>0.22</v>
      </c>
      <c r="M65" s="226"/>
      <c r="N65" s="155"/>
      <c r="O65" s="157" t="str">
        <f t="shared" si="29"/>
        <v>NO</v>
      </c>
      <c r="P65" s="34">
        <v>50</v>
      </c>
      <c r="Q65" s="33">
        <v>1.5</v>
      </c>
      <c r="R65" s="34">
        <v>4</v>
      </c>
      <c r="S65" s="29">
        <v>4</v>
      </c>
      <c r="T65" s="34">
        <v>115</v>
      </c>
      <c r="U65" s="31">
        <v>78.75</v>
      </c>
      <c r="V65" s="29">
        <v>19.5</v>
      </c>
      <c r="W65" s="82">
        <f t="shared" si="30"/>
        <v>58.5</v>
      </c>
      <c r="X65" s="83">
        <f t="shared" si="31"/>
        <v>235.5</v>
      </c>
      <c r="Y65" s="84">
        <f t="shared" si="32"/>
        <v>1.1840120663650076</v>
      </c>
      <c r="Z65" s="211">
        <f t="shared" si="33"/>
        <v>166.16869343891403</v>
      </c>
      <c r="AA65" s="132">
        <f t="shared" si="34"/>
        <v>1</v>
      </c>
      <c r="AB65" s="128">
        <f t="shared" si="35"/>
        <v>79.2</v>
      </c>
      <c r="AC65" s="426">
        <v>17.2</v>
      </c>
      <c r="AD65" s="52">
        <f t="shared" si="36"/>
        <v>27.38372093023256</v>
      </c>
      <c r="AE65" s="34">
        <v>30</v>
      </c>
      <c r="AF65" s="34">
        <v>1.6</v>
      </c>
      <c r="AG65" s="226">
        <v>29</v>
      </c>
      <c r="AH65" s="226">
        <v>0</v>
      </c>
      <c r="AI65" s="112">
        <f t="shared" si="37"/>
        <v>413.6875</v>
      </c>
      <c r="AJ65" s="424">
        <v>13404</v>
      </c>
      <c r="AK65" s="226">
        <v>115</v>
      </c>
      <c r="AL65" s="30">
        <f t="shared" si="38"/>
        <v>1</v>
      </c>
      <c r="AM65" s="52">
        <f t="shared" si="39"/>
        <v>754.6875</v>
      </c>
      <c r="AN65" s="265">
        <v>3145</v>
      </c>
      <c r="AO65" s="85">
        <f t="shared" si="40"/>
        <v>3145</v>
      </c>
      <c r="AP65" s="52">
        <f t="shared" si="41"/>
        <v>1703.925</v>
      </c>
      <c r="AQ65" s="52">
        <f t="shared" si="42"/>
        <v>21116.8</v>
      </c>
      <c r="AR65" s="52">
        <f t="shared" si="43"/>
        <v>579.1624999999999</v>
      </c>
      <c r="AS65" s="52">
        <f t="shared" si="43"/>
        <v>18765.6</v>
      </c>
      <c r="AT65" s="265">
        <v>2</v>
      </c>
      <c r="AU65" s="265">
        <v>17.5</v>
      </c>
      <c r="AV65" s="52">
        <f t="shared" si="44"/>
        <v>37.90194871794872</v>
      </c>
      <c r="AW65" s="52">
        <f t="shared" si="45"/>
        <v>21.1168</v>
      </c>
      <c r="AX65" s="52">
        <f t="shared" si="46"/>
        <v>29.8186875</v>
      </c>
      <c r="AY65" s="52">
        <f t="shared" si="47"/>
        <v>80.98968515624999</v>
      </c>
      <c r="AZ65" s="30">
        <f t="shared" si="48"/>
        <v>102.10648515624999</v>
      </c>
      <c r="BA65" s="86">
        <f t="shared" si="49"/>
        <v>35.56424310897436</v>
      </c>
      <c r="BB65" s="91" t="str">
        <f t="shared" si="50"/>
        <v>OK</v>
      </c>
      <c r="BC65" s="120">
        <f t="shared" si="51"/>
        <v>216.8125</v>
      </c>
      <c r="BD65" s="52">
        <f t="shared" si="52"/>
        <v>18.067708333333332</v>
      </c>
      <c r="BE65" s="52">
        <f t="shared" si="53"/>
        <v>754.6875</v>
      </c>
      <c r="BF65" s="52">
        <f t="shared" si="54"/>
        <v>62.890625</v>
      </c>
      <c r="BG65" s="226">
        <v>103</v>
      </c>
      <c r="BH65" s="63">
        <f t="shared" si="55"/>
        <v>34.36383067908654</v>
      </c>
      <c r="BI65" s="362"/>
      <c r="BJ65" s="125">
        <v>0</v>
      </c>
      <c r="BK65" s="256">
        <f t="shared" si="56"/>
        <v>3.407993966817496</v>
      </c>
      <c r="BL65" s="425">
        <v>312</v>
      </c>
      <c r="BM65" s="132">
        <f t="shared" si="57"/>
        <v>0.5995425908369862</v>
      </c>
      <c r="BN65" s="88">
        <f t="shared" si="58"/>
        <v>0.2995021471973693</v>
      </c>
      <c r="BO65" s="130">
        <f t="shared" si="59"/>
        <v>0.65</v>
      </c>
      <c r="BP65" s="91" t="str">
        <f t="shared" si="60"/>
        <v>OK</v>
      </c>
      <c r="BQ65" s="91" t="str">
        <f t="shared" si="61"/>
        <v>OK</v>
      </c>
    </row>
    <row r="66" spans="2:69" ht="12" thickBot="1">
      <c r="B66" s="381">
        <v>1</v>
      </c>
      <c r="C66" s="504">
        <f t="shared" si="28"/>
        <v>0.312</v>
      </c>
      <c r="D66" s="54"/>
      <c r="E66" s="115" t="s">
        <v>177</v>
      </c>
      <c r="F66" s="62" t="s">
        <v>207</v>
      </c>
      <c r="G66" s="115" t="s">
        <v>110</v>
      </c>
      <c r="H66" s="218">
        <v>16</v>
      </c>
      <c r="I66" s="273"/>
      <c r="J66" s="100">
        <v>4.71</v>
      </c>
      <c r="K66" s="100">
        <v>12</v>
      </c>
      <c r="L66" s="116">
        <v>0.22</v>
      </c>
      <c r="M66" s="183"/>
      <c r="N66" s="156"/>
      <c r="O66" s="373" t="str">
        <f t="shared" si="29"/>
        <v>NO</v>
      </c>
      <c r="P66" s="286">
        <v>50</v>
      </c>
      <c r="Q66" s="36">
        <v>1.5</v>
      </c>
      <c r="R66" s="286">
        <v>4</v>
      </c>
      <c r="S66" s="306">
        <v>4</v>
      </c>
      <c r="T66" s="286">
        <v>115</v>
      </c>
      <c r="U66" s="35">
        <v>78.75</v>
      </c>
      <c r="V66" s="306">
        <v>19.5</v>
      </c>
      <c r="W66" s="148">
        <f t="shared" si="30"/>
        <v>58.5</v>
      </c>
      <c r="X66" s="149">
        <f t="shared" si="31"/>
        <v>235.5</v>
      </c>
      <c r="Y66" s="150">
        <f t="shared" si="32"/>
        <v>1.1840120663650076</v>
      </c>
      <c r="Z66" s="384">
        <f t="shared" si="33"/>
        <v>166.16869343891403</v>
      </c>
      <c r="AA66" s="375">
        <f t="shared" si="34"/>
        <v>1</v>
      </c>
      <c r="AB66" s="308">
        <f t="shared" si="35"/>
        <v>79.2</v>
      </c>
      <c r="AC66" s="36">
        <v>17.2</v>
      </c>
      <c r="AD66" s="106">
        <f t="shared" si="36"/>
        <v>27.38372093023256</v>
      </c>
      <c r="AE66" s="109">
        <v>30</v>
      </c>
      <c r="AF66" s="109">
        <v>1.6</v>
      </c>
      <c r="AG66" s="183">
        <v>29</v>
      </c>
      <c r="AH66" s="183">
        <v>0</v>
      </c>
      <c r="AI66" s="133">
        <f t="shared" si="37"/>
        <v>413.6875</v>
      </c>
      <c r="AJ66" s="267">
        <v>13404</v>
      </c>
      <c r="AK66" s="183">
        <v>115</v>
      </c>
      <c r="AL66" s="107">
        <f t="shared" si="38"/>
        <v>1</v>
      </c>
      <c r="AM66" s="106">
        <f t="shared" si="39"/>
        <v>754.6875</v>
      </c>
      <c r="AN66" s="266">
        <v>3145</v>
      </c>
      <c r="AO66" s="376">
        <f t="shared" si="40"/>
        <v>3145</v>
      </c>
      <c r="AP66" s="106">
        <f t="shared" si="41"/>
        <v>1703.925</v>
      </c>
      <c r="AQ66" s="106">
        <f t="shared" si="42"/>
        <v>21116.8</v>
      </c>
      <c r="AR66" s="106">
        <f t="shared" si="43"/>
        <v>579.1624999999999</v>
      </c>
      <c r="AS66" s="106">
        <f t="shared" si="43"/>
        <v>18765.6</v>
      </c>
      <c r="AT66" s="266">
        <v>2</v>
      </c>
      <c r="AU66" s="266">
        <v>17.5</v>
      </c>
      <c r="AV66" s="376">
        <f t="shared" si="44"/>
        <v>37.90194871794872</v>
      </c>
      <c r="AW66" s="376">
        <f t="shared" si="45"/>
        <v>21.1168</v>
      </c>
      <c r="AX66" s="376">
        <f t="shared" si="46"/>
        <v>29.8186875</v>
      </c>
      <c r="AY66" s="376">
        <f t="shared" si="47"/>
        <v>80.98968515624999</v>
      </c>
      <c r="AZ66" s="148">
        <f t="shared" si="48"/>
        <v>102.10648515624999</v>
      </c>
      <c r="BA66" s="308">
        <f t="shared" si="49"/>
        <v>35.56424310897436</v>
      </c>
      <c r="BB66" s="385" t="str">
        <f t="shared" si="50"/>
        <v>OK</v>
      </c>
      <c r="BC66" s="378">
        <f t="shared" si="51"/>
        <v>216.8125</v>
      </c>
      <c r="BD66" s="106">
        <f t="shared" si="52"/>
        <v>18.067708333333332</v>
      </c>
      <c r="BE66" s="106">
        <f t="shared" si="53"/>
        <v>754.6875</v>
      </c>
      <c r="BF66" s="106">
        <f t="shared" si="54"/>
        <v>62.890625</v>
      </c>
      <c r="BG66" s="183">
        <v>103</v>
      </c>
      <c r="BH66" s="111">
        <f t="shared" si="55"/>
        <v>34.36383067908654</v>
      </c>
      <c r="BI66" s="151"/>
      <c r="BJ66" s="18">
        <v>0</v>
      </c>
      <c r="BK66" s="430">
        <f t="shared" si="56"/>
        <v>3.407993966817496</v>
      </c>
      <c r="BL66" s="110">
        <v>312</v>
      </c>
      <c r="BM66" s="375">
        <f t="shared" si="57"/>
        <v>0.5995425908369862</v>
      </c>
      <c r="BN66" s="380">
        <f t="shared" si="58"/>
        <v>0.2995021471973693</v>
      </c>
      <c r="BO66" s="384">
        <f t="shared" si="59"/>
        <v>0.65</v>
      </c>
      <c r="BP66" s="385" t="str">
        <f t="shared" si="60"/>
        <v>OK</v>
      </c>
      <c r="BQ66" s="385" t="str">
        <f t="shared" si="61"/>
        <v>OK</v>
      </c>
    </row>
    <row r="68" spans="1:12" ht="12" thickBot="1">
      <c r="A68" s="174"/>
      <c r="B68" s="13"/>
      <c r="C68" s="318"/>
      <c r="E68" s="276"/>
      <c r="F68" s="277" t="s">
        <v>120</v>
      </c>
      <c r="G68" s="278"/>
      <c r="H68" s="278"/>
      <c r="I68" s="279" t="s">
        <v>121</v>
      </c>
      <c r="J68" s="279"/>
      <c r="K68" s="280" t="s">
        <v>122</v>
      </c>
      <c r="L68" s="167"/>
    </row>
    <row r="69" spans="2:12" ht="12" thickTop="1">
      <c r="B69" s="13"/>
      <c r="C69" s="318"/>
      <c r="E69" s="241"/>
      <c r="H69" s="8" t="s">
        <v>21</v>
      </c>
      <c r="J69" s="281"/>
      <c r="K69" s="167"/>
      <c r="L69" s="167"/>
    </row>
    <row r="70" spans="2:12" ht="11.25">
      <c r="B70" s="13"/>
      <c r="C70" s="318"/>
      <c r="E70" s="276"/>
      <c r="F70" s="8"/>
      <c r="J70" s="13"/>
      <c r="K70" s="10"/>
      <c r="L70" s="13"/>
    </row>
    <row r="71" spans="2:58" ht="12" thickBot="1">
      <c r="B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</row>
    <row r="72" spans="1:59" s="174" customFormat="1" ht="12" thickBot="1">
      <c r="A72" s="8"/>
      <c r="B72" s="138"/>
      <c r="C72" s="502"/>
      <c r="D72" s="175"/>
      <c r="E72" s="412" t="s">
        <v>190</v>
      </c>
      <c r="F72" s="418" t="s">
        <v>212</v>
      </c>
      <c r="G72" s="176"/>
      <c r="H72" s="176"/>
      <c r="I72" s="176"/>
      <c r="J72" s="176"/>
      <c r="K72" s="386"/>
      <c r="L72" s="176"/>
      <c r="M72" s="386"/>
      <c r="N72" s="387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413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Q72" s="415"/>
      <c r="AR72" s="414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413"/>
      <c r="BG72" s="488"/>
    </row>
    <row r="73" spans="2:58" ht="11.25">
      <c r="B73" s="446" t="s">
        <v>244</v>
      </c>
      <c r="C73" s="497" t="s">
        <v>56</v>
      </c>
      <c r="D73" s="54"/>
      <c r="E73" s="76" t="s">
        <v>213</v>
      </c>
      <c r="F73" s="56" t="s">
        <v>214</v>
      </c>
      <c r="G73" s="6" t="s">
        <v>58</v>
      </c>
      <c r="H73" s="6"/>
      <c r="I73" s="188"/>
      <c r="J73" s="6"/>
      <c r="K73" s="6"/>
      <c r="L73" s="6"/>
      <c r="M73" s="220"/>
      <c r="N73" s="243"/>
      <c r="O73" s="6"/>
      <c r="P73" s="3"/>
      <c r="Q73" s="38" t="s">
        <v>34</v>
      </c>
      <c r="R73" s="70"/>
      <c r="S73" s="26" t="s">
        <v>61</v>
      </c>
      <c r="T73" s="50"/>
      <c r="U73" s="5" t="s">
        <v>25</v>
      </c>
      <c r="V73" s="4"/>
      <c r="W73" s="4"/>
      <c r="X73" s="14" t="s">
        <v>49</v>
      </c>
      <c r="Y73" s="7"/>
      <c r="Z73" s="37"/>
      <c r="AA73" s="163" t="s">
        <v>96</v>
      </c>
      <c r="AB73" s="159"/>
      <c r="AC73" s="38" t="s">
        <v>17</v>
      </c>
      <c r="AD73" s="4"/>
      <c r="AE73" s="15" t="s">
        <v>7</v>
      </c>
      <c r="AF73" s="15" t="s">
        <v>7</v>
      </c>
      <c r="AG73" s="259" t="s">
        <v>7</v>
      </c>
      <c r="AH73" s="14" t="s">
        <v>7</v>
      </c>
      <c r="AI73" s="15" t="s">
        <v>7</v>
      </c>
      <c r="AJ73" s="45" t="s">
        <v>8</v>
      </c>
      <c r="AK73" s="98" t="s">
        <v>8</v>
      </c>
      <c r="AL73" s="43" t="s">
        <v>8</v>
      </c>
      <c r="AM73" s="43" t="s">
        <v>97</v>
      </c>
      <c r="AN73" s="12" t="s">
        <v>98</v>
      </c>
      <c r="AO73" s="3"/>
      <c r="AP73" s="7"/>
      <c r="AQ73" s="39" t="s">
        <v>50</v>
      </c>
      <c r="AR73" s="42" t="s">
        <v>7</v>
      </c>
      <c r="AS73" s="14" t="s">
        <v>7</v>
      </c>
      <c r="AT73" s="15" t="s">
        <v>8</v>
      </c>
      <c r="AU73" s="15" t="s">
        <v>8</v>
      </c>
      <c r="AV73" s="42" t="s">
        <v>34</v>
      </c>
      <c r="AW73" s="41" t="s">
        <v>14</v>
      </c>
      <c r="AX73" s="41" t="s">
        <v>51</v>
      </c>
      <c r="AY73" s="15" t="s">
        <v>9</v>
      </c>
      <c r="AZ73" s="15" t="s">
        <v>10</v>
      </c>
      <c r="BA73" s="17" t="s">
        <v>29</v>
      </c>
      <c r="BB73" s="42" t="s">
        <v>41</v>
      </c>
      <c r="BC73" s="41" t="s">
        <v>42</v>
      </c>
      <c r="BD73" s="57" t="s">
        <v>99</v>
      </c>
      <c r="BE73" s="55" t="s">
        <v>7</v>
      </c>
      <c r="BF73" s="56" t="s">
        <v>8</v>
      </c>
    </row>
    <row r="74" spans="2:58" ht="11.25">
      <c r="B74" s="93"/>
      <c r="C74" s="498"/>
      <c r="D74" s="54"/>
      <c r="E74" s="76"/>
      <c r="F74" s="44"/>
      <c r="G74" s="64"/>
      <c r="H74" s="64"/>
      <c r="I74" s="65"/>
      <c r="J74" s="64"/>
      <c r="K74" s="64"/>
      <c r="L74" s="64"/>
      <c r="M74" s="247"/>
      <c r="N74" s="244"/>
      <c r="O74" s="64"/>
      <c r="P74" s="69"/>
      <c r="Q74" s="14" t="s">
        <v>1</v>
      </c>
      <c r="R74" s="71"/>
      <c r="S74" s="72" t="s">
        <v>62</v>
      </c>
      <c r="T74" s="72" t="s">
        <v>63</v>
      </c>
      <c r="U74" s="12" t="s">
        <v>26</v>
      </c>
      <c r="V74" s="11"/>
      <c r="W74" s="11"/>
      <c r="Y74" s="16"/>
      <c r="Z74" s="41" t="s">
        <v>51</v>
      </c>
      <c r="AA74" s="160" t="s">
        <v>74</v>
      </c>
      <c r="AB74" s="41" t="s">
        <v>52</v>
      </c>
      <c r="AC74" s="14" t="s">
        <v>18</v>
      </c>
      <c r="AD74" s="15" t="s">
        <v>30</v>
      </c>
      <c r="AE74" s="15" t="s">
        <v>70</v>
      </c>
      <c r="AF74" s="15" t="s">
        <v>34</v>
      </c>
      <c r="AG74" s="15" t="s">
        <v>61</v>
      </c>
      <c r="AH74" s="98" t="s">
        <v>87</v>
      </c>
      <c r="AI74" s="15" t="s">
        <v>62</v>
      </c>
      <c r="AJ74" s="10"/>
      <c r="AK74" s="98" t="s">
        <v>67</v>
      </c>
      <c r="AL74" s="43" t="s">
        <v>81</v>
      </c>
      <c r="AM74" s="43" t="s">
        <v>15</v>
      </c>
      <c r="AN74" s="12"/>
      <c r="AO74" s="42" t="s">
        <v>14</v>
      </c>
      <c r="AP74" s="17" t="s">
        <v>36</v>
      </c>
      <c r="AQ74" s="44" t="s">
        <v>37</v>
      </c>
      <c r="AR74" s="42" t="s">
        <v>85</v>
      </c>
      <c r="AS74" s="13"/>
      <c r="AT74" s="11"/>
      <c r="AU74" s="11"/>
      <c r="AV74" s="42" t="s">
        <v>33</v>
      </c>
      <c r="AW74" s="17" t="s">
        <v>85</v>
      </c>
      <c r="AX74" s="40" t="s">
        <v>34</v>
      </c>
      <c r="AY74" s="10"/>
      <c r="AZ74" s="13"/>
      <c r="BA74" s="17" t="s">
        <v>46</v>
      </c>
      <c r="BB74" s="42" t="s">
        <v>13</v>
      </c>
      <c r="BC74" s="41"/>
      <c r="BD74" s="54"/>
      <c r="BE74" s="58" t="s">
        <v>39</v>
      </c>
      <c r="BF74" s="44" t="s">
        <v>39</v>
      </c>
    </row>
    <row r="75" spans="2:58" ht="11.25">
      <c r="B75" s="93"/>
      <c r="C75" s="498"/>
      <c r="D75" s="54"/>
      <c r="E75" s="76"/>
      <c r="F75" s="44"/>
      <c r="G75" s="73" t="s">
        <v>59</v>
      </c>
      <c r="H75" s="10" t="s">
        <v>56</v>
      </c>
      <c r="I75" s="269" t="s">
        <v>88</v>
      </c>
      <c r="J75" s="15" t="s">
        <v>47</v>
      </c>
      <c r="K75" s="15" t="s">
        <v>0</v>
      </c>
      <c r="L75" s="15" t="s">
        <v>2</v>
      </c>
      <c r="M75" s="43" t="s">
        <v>90</v>
      </c>
      <c r="N75" s="245" t="s">
        <v>91</v>
      </c>
      <c r="O75" s="15" t="s">
        <v>95</v>
      </c>
      <c r="P75" s="15" t="s">
        <v>3</v>
      </c>
      <c r="Q75" s="14" t="s">
        <v>19</v>
      </c>
      <c r="R75" s="15" t="s">
        <v>4</v>
      </c>
      <c r="S75" s="15" t="s">
        <v>19</v>
      </c>
      <c r="T75" s="15" t="s">
        <v>56</v>
      </c>
      <c r="U75" s="12" t="s">
        <v>16</v>
      </c>
      <c r="V75" s="15" t="s">
        <v>21</v>
      </c>
      <c r="W75" s="15" t="s">
        <v>48</v>
      </c>
      <c r="X75" s="14" t="s">
        <v>6</v>
      </c>
      <c r="Y75" s="17" t="s">
        <v>5</v>
      </c>
      <c r="Z75" s="41" t="s">
        <v>53</v>
      </c>
      <c r="AA75" s="161"/>
      <c r="AB75" s="41"/>
      <c r="AC75" s="14" t="s">
        <v>32</v>
      </c>
      <c r="AD75" s="15" t="s">
        <v>31</v>
      </c>
      <c r="AE75" s="15" t="s">
        <v>71</v>
      </c>
      <c r="AF75" s="15" t="s">
        <v>72</v>
      </c>
      <c r="AG75" s="15"/>
      <c r="AH75" s="98" t="s">
        <v>86</v>
      </c>
      <c r="AI75" s="15"/>
      <c r="AJ75" s="11"/>
      <c r="AK75" s="98" t="s">
        <v>27</v>
      </c>
      <c r="AL75" s="43" t="s">
        <v>82</v>
      </c>
      <c r="AM75" s="15" t="s">
        <v>83</v>
      </c>
      <c r="AN75" s="42" t="s">
        <v>83</v>
      </c>
      <c r="AO75" s="42"/>
      <c r="AP75" s="17"/>
      <c r="AQ75" s="41" t="s">
        <v>54</v>
      </c>
      <c r="AR75" s="134"/>
      <c r="AS75" s="11"/>
      <c r="AT75" s="11"/>
      <c r="AU75" s="11"/>
      <c r="AV75" s="11"/>
      <c r="AW75" s="16"/>
      <c r="AX75" s="40" t="s">
        <v>84</v>
      </c>
      <c r="AY75" s="10"/>
      <c r="AZ75" s="11"/>
      <c r="BA75" s="54"/>
      <c r="BB75" s="10"/>
      <c r="BC75" s="16"/>
      <c r="BD75" s="93"/>
      <c r="BE75" s="93"/>
      <c r="BF75" s="93"/>
    </row>
    <row r="76" spans="2:58" ht="12" thickBot="1">
      <c r="B76" s="381"/>
      <c r="C76" s="499" t="s">
        <v>246</v>
      </c>
      <c r="D76" s="54"/>
      <c r="E76" s="77"/>
      <c r="F76" s="62"/>
      <c r="G76" s="18" t="s">
        <v>60</v>
      </c>
      <c r="H76" s="18" t="s">
        <v>11</v>
      </c>
      <c r="I76" s="270"/>
      <c r="J76" s="1" t="s">
        <v>43</v>
      </c>
      <c r="K76" s="1" t="s">
        <v>40</v>
      </c>
      <c r="L76" s="1" t="s">
        <v>40</v>
      </c>
      <c r="M76" s="48"/>
      <c r="N76" s="246"/>
      <c r="O76" s="1"/>
      <c r="P76" s="1" t="s">
        <v>44</v>
      </c>
      <c r="Q76" s="20" t="s">
        <v>40</v>
      </c>
      <c r="R76" s="1" t="s">
        <v>44</v>
      </c>
      <c r="S76" s="1" t="s">
        <v>40</v>
      </c>
      <c r="T76" s="1" t="s">
        <v>57</v>
      </c>
      <c r="U76" s="19" t="s">
        <v>40</v>
      </c>
      <c r="V76" s="1" t="s">
        <v>12</v>
      </c>
      <c r="W76" s="1" t="s">
        <v>40</v>
      </c>
      <c r="X76" s="20" t="s">
        <v>35</v>
      </c>
      <c r="Y76" s="21" t="s">
        <v>40</v>
      </c>
      <c r="Z76" s="41" t="s">
        <v>45</v>
      </c>
      <c r="AA76" s="161"/>
      <c r="AB76" s="17" t="s">
        <v>35</v>
      </c>
      <c r="AC76" s="14" t="s">
        <v>24</v>
      </c>
      <c r="AD76" s="15" t="s">
        <v>22</v>
      </c>
      <c r="AE76" s="15" t="s">
        <v>28</v>
      </c>
      <c r="AF76" s="15" t="s">
        <v>28</v>
      </c>
      <c r="AG76" s="42" t="s">
        <v>28</v>
      </c>
      <c r="AH76" s="42" t="s">
        <v>11</v>
      </c>
      <c r="AI76" s="15" t="s">
        <v>11</v>
      </c>
      <c r="AJ76" s="45" t="s">
        <v>28</v>
      </c>
      <c r="AK76" s="11"/>
      <c r="AL76" s="43" t="s">
        <v>11</v>
      </c>
      <c r="AM76" s="215" t="s">
        <v>11</v>
      </c>
      <c r="AN76" s="234" t="s">
        <v>11</v>
      </c>
      <c r="AO76" s="42" t="s">
        <v>45</v>
      </c>
      <c r="AP76" s="17" t="s">
        <v>35</v>
      </c>
      <c r="AQ76" s="57" t="s">
        <v>23</v>
      </c>
      <c r="AR76" s="135" t="s">
        <v>11</v>
      </c>
      <c r="AS76" s="59" t="s">
        <v>20</v>
      </c>
      <c r="AT76" s="60" t="s">
        <v>11</v>
      </c>
      <c r="AU76" s="60" t="s">
        <v>20</v>
      </c>
      <c r="AV76" s="47" t="s">
        <v>38</v>
      </c>
      <c r="AW76" s="46" t="s">
        <v>45</v>
      </c>
      <c r="AX76" s="46" t="s">
        <v>45</v>
      </c>
      <c r="AY76" s="1" t="s">
        <v>40</v>
      </c>
      <c r="AZ76" s="1" t="s">
        <v>40</v>
      </c>
      <c r="BA76" s="49" t="s">
        <v>38</v>
      </c>
      <c r="BB76" s="2" t="s">
        <v>40</v>
      </c>
      <c r="BC76" s="46" t="s">
        <v>40</v>
      </c>
      <c r="BD76" s="136" t="s">
        <v>40</v>
      </c>
      <c r="BE76" s="61" t="s">
        <v>23</v>
      </c>
      <c r="BF76" s="61" t="s">
        <v>23</v>
      </c>
    </row>
    <row r="77" spans="1:58" ht="11.25">
      <c r="A77" s="174"/>
      <c r="B77" s="118">
        <v>14</v>
      </c>
      <c r="C77" s="503">
        <f>B77*V77*$H77/1000</f>
        <v>2.94</v>
      </c>
      <c r="D77" s="54"/>
      <c r="E77" s="123" t="s">
        <v>255</v>
      </c>
      <c r="F77" s="78" t="s">
        <v>257</v>
      </c>
      <c r="G77" s="179" t="s">
        <v>73</v>
      </c>
      <c r="H77" s="139">
        <v>12</v>
      </c>
      <c r="I77" s="271"/>
      <c r="J77" s="22">
        <v>3.54</v>
      </c>
      <c r="K77" s="22">
        <v>9.87</v>
      </c>
      <c r="L77" s="25">
        <v>0.19</v>
      </c>
      <c r="M77" s="248"/>
      <c r="N77" s="154"/>
      <c r="O77" s="208" t="str">
        <f aca="true" t="shared" si="62" ref="O77:O84">IF(M77&lt;1.1*((N77*29000)/P77)^0.5,1,"NO")</f>
        <v>NO</v>
      </c>
      <c r="P77" s="4">
        <v>50</v>
      </c>
      <c r="Q77" s="6">
        <v>1.5</v>
      </c>
      <c r="R77" s="4">
        <v>4</v>
      </c>
      <c r="S77" s="140">
        <v>4</v>
      </c>
      <c r="T77" s="4">
        <v>115</v>
      </c>
      <c r="U77" s="24">
        <v>75</v>
      </c>
      <c r="V77" s="22">
        <v>17.5</v>
      </c>
      <c r="W77" s="23">
        <f aca="true" t="shared" si="63" ref="W77:W84">MIN((V77/4)*12,U77)</f>
        <v>52.5</v>
      </c>
      <c r="X77" s="27">
        <f aca="true" t="shared" si="64" ref="X77:X84">J77*P77</f>
        <v>177</v>
      </c>
      <c r="Y77" s="28">
        <f aca="true" t="shared" si="65" ref="Y77:Y84">(J77*P77)/(0.85*R77*W77)</f>
        <v>0.9915966386554622</v>
      </c>
      <c r="Z77" s="102">
        <f aca="true" t="shared" si="66" ref="Z77:Z84">(0.9*((J77*P77*(K77/2))+(0.85*R77*Y77*W77*(S77-(Y77/2)))))/12</f>
        <v>112.03040231092437</v>
      </c>
      <c r="AA77" s="162">
        <f aca="true" t="shared" si="67" ref="AA77:AA84">IF(I77="v",0.9,1)</f>
        <v>1</v>
      </c>
      <c r="AB77" s="209">
        <f aca="true" t="shared" si="68" ref="AB77:AB84">IF(O77="NO",AA77*0.6*P77*K77*L77,AA77*0.6*P77*K77*L77*O77)</f>
        <v>56.25899999999999</v>
      </c>
      <c r="AC77" s="6">
        <v>17.2</v>
      </c>
      <c r="AD77" s="143">
        <f aca="true" t="shared" si="69" ref="AD77:AD84">(X77/AC77)*2</f>
        <v>20.58139534883721</v>
      </c>
      <c r="AE77" s="4">
        <v>30</v>
      </c>
      <c r="AF77" s="4">
        <v>1.6</v>
      </c>
      <c r="AG77" s="141">
        <v>29</v>
      </c>
      <c r="AH77" s="141">
        <v>0</v>
      </c>
      <c r="AI77" s="144">
        <f aca="true" t="shared" si="70" ref="AI77:AI84">((AE77+AG77+AF77)*(U77/12))+H77+AH77</f>
        <v>390.75</v>
      </c>
      <c r="AJ77" s="24">
        <v>115</v>
      </c>
      <c r="AK77" s="142">
        <f aca="true" t="shared" si="71" ref="AK77:AK84">IF(0.25+(15/($F$8*V77*(U77/12))^0.5)&gt;0.5,IF(0.25+(15/($F$8*V77*(U77/12))^0.5)&gt;1,1,0.25+(15/($F$8*V77*(U77/12))^0.5)),0.5)</f>
        <v>1</v>
      </c>
      <c r="AL77" s="143">
        <f aca="true" t="shared" si="72" ref="AL77:AL84">(AJ77*AK77)*(U77/12)</f>
        <v>718.75</v>
      </c>
      <c r="AM77" s="143">
        <f aca="true" t="shared" si="73" ref="AM77:AM84">(1.2*AI77)+(1.6*AL77)</f>
        <v>1618.9</v>
      </c>
      <c r="AN77" s="143">
        <f aca="true" t="shared" si="74" ref="AN77:AN84">1.4*AI77</f>
        <v>547.05</v>
      </c>
      <c r="AO77" s="142">
        <f aca="true" t="shared" si="75" ref="AO77:AO84">MAX((AN77*V77*V77)/8000,(AM77*V77*V77)/8000)</f>
        <v>61.973515625</v>
      </c>
      <c r="AP77" s="51">
        <f aca="true" t="shared" si="76" ref="AP77:AP84">MAX(AN77*V77/2000,AM77*V77/2000)</f>
        <v>14.165375</v>
      </c>
      <c r="AQ77" s="90" t="str">
        <f aca="true" t="shared" si="77" ref="AQ77:AQ84">IF(AND(Z77&gt;AO77,AB77&gt;AP77),"OK","NG")</f>
        <v>OK</v>
      </c>
      <c r="AR77" s="103">
        <f aca="true" t="shared" si="78" ref="AR77:AR84">((AF77+AG77)*(U77/12))+H77</f>
        <v>203.25</v>
      </c>
      <c r="AS77" s="145">
        <f aca="true" t="shared" si="79" ref="AS77:AS84">AR77/12</f>
        <v>16.9375</v>
      </c>
      <c r="AT77" s="143">
        <f aca="true" t="shared" si="80" ref="AT77:AT84">AJ77*(U77/12)</f>
        <v>718.75</v>
      </c>
      <c r="AU77" s="143">
        <f aca="true" t="shared" si="81" ref="AU77:AU84">AT77/12</f>
        <v>59.895833333333336</v>
      </c>
      <c r="AV77" s="31">
        <v>53.8</v>
      </c>
      <c r="AW77" s="68">
        <f aca="true" t="shared" si="82" ref="AW77:AW84">(AR77*V77*V77)/8000</f>
        <v>7.7806640625</v>
      </c>
      <c r="AX77" s="118">
        <v>46.9</v>
      </c>
      <c r="AY77" s="126">
        <v>0</v>
      </c>
      <c r="AZ77" s="237">
        <f aca="true" t="shared" si="83" ref="AZ77:AZ84">S77-Y77/2</f>
        <v>3.504201680672269</v>
      </c>
      <c r="BA77" s="67">
        <v>180</v>
      </c>
      <c r="BB77" s="162">
        <f aca="true" t="shared" si="84" ref="BB77:BB84">(5*(AS77)*((V77*12)^4))/(384*29000000*AV77)</f>
        <v>0.2749064904789851</v>
      </c>
      <c r="BC77" s="68">
        <f aca="true" t="shared" si="85" ref="BC77:BC84">(5*(AU77)*((V77*12)^4))/(384*29000000*BA77)</f>
        <v>0.29056417530980605</v>
      </c>
      <c r="BD77" s="102">
        <f aca="true" t="shared" si="86" ref="BD77:BD84">(V77/360)*12</f>
        <v>0.5833333333333334</v>
      </c>
      <c r="BE77" s="90" t="str">
        <f aca="true" t="shared" si="87" ref="BE77:BE84">IF(BB77&gt;BD77,"NG","OK")</f>
        <v>OK</v>
      </c>
      <c r="BF77" s="90" t="str">
        <f aca="true" t="shared" si="88" ref="BF77:BF84">IF(BC77&gt;BD77,"NG","OK")</f>
        <v>OK</v>
      </c>
    </row>
    <row r="78" spans="2:58" ht="12" thickBot="1">
      <c r="B78" s="165">
        <v>12</v>
      </c>
      <c r="C78" s="505">
        <f>B78*V78*$H78/1000</f>
        <v>2.808</v>
      </c>
      <c r="D78" s="54"/>
      <c r="E78" s="152" t="s">
        <v>256</v>
      </c>
      <c r="F78" s="178" t="s">
        <v>258</v>
      </c>
      <c r="G78" s="115" t="s">
        <v>73</v>
      </c>
      <c r="H78" s="218">
        <v>12</v>
      </c>
      <c r="I78" s="273"/>
      <c r="J78" s="100">
        <v>3.54</v>
      </c>
      <c r="K78" s="100">
        <v>9.87</v>
      </c>
      <c r="L78" s="116">
        <v>0.19</v>
      </c>
      <c r="M78" s="183"/>
      <c r="N78" s="156"/>
      <c r="O78" s="158" t="str">
        <f t="shared" si="62"/>
        <v>NO</v>
      </c>
      <c r="P78" s="109">
        <v>50</v>
      </c>
      <c r="Q78" s="95">
        <v>1.5</v>
      </c>
      <c r="R78" s="109">
        <v>4</v>
      </c>
      <c r="S78" s="100">
        <v>4</v>
      </c>
      <c r="T78" s="109">
        <v>115</v>
      </c>
      <c r="U78" s="108">
        <v>82.5</v>
      </c>
      <c r="V78" s="100">
        <v>19.5</v>
      </c>
      <c r="W78" s="30">
        <f t="shared" si="63"/>
        <v>58.5</v>
      </c>
      <c r="X78" s="146">
        <f t="shared" si="64"/>
        <v>177</v>
      </c>
      <c r="Y78" s="147">
        <f t="shared" si="65"/>
        <v>0.889894419306184</v>
      </c>
      <c r="Z78" s="211">
        <f t="shared" si="66"/>
        <v>112.70545079185518</v>
      </c>
      <c r="AA78" s="132">
        <f t="shared" si="67"/>
        <v>1</v>
      </c>
      <c r="AB78" s="128">
        <f t="shared" si="68"/>
        <v>56.25899999999999</v>
      </c>
      <c r="AC78" s="227">
        <v>17.2</v>
      </c>
      <c r="AD78" s="52">
        <f t="shared" si="69"/>
        <v>20.58139534883721</v>
      </c>
      <c r="AE78" s="34">
        <v>30</v>
      </c>
      <c r="AF78" s="34">
        <v>1.6</v>
      </c>
      <c r="AG78" s="226">
        <v>29</v>
      </c>
      <c r="AH78" s="226">
        <v>0</v>
      </c>
      <c r="AI78" s="112">
        <f t="shared" si="70"/>
        <v>428.625</v>
      </c>
      <c r="AJ78" s="31">
        <v>115</v>
      </c>
      <c r="AK78" s="30">
        <f t="shared" si="71"/>
        <v>1</v>
      </c>
      <c r="AL78" s="52">
        <f t="shared" si="72"/>
        <v>790.625</v>
      </c>
      <c r="AM78" s="52">
        <f t="shared" si="73"/>
        <v>1779.35</v>
      </c>
      <c r="AN78" s="52">
        <f t="shared" si="74"/>
        <v>600.0749999999999</v>
      </c>
      <c r="AO78" s="30">
        <f t="shared" si="75"/>
        <v>84.57472968749998</v>
      </c>
      <c r="AP78" s="128">
        <f t="shared" si="76"/>
        <v>17.3486625</v>
      </c>
      <c r="AQ78" s="91" t="str">
        <f t="shared" si="77"/>
        <v>OK</v>
      </c>
      <c r="AR78" s="114">
        <f t="shared" si="78"/>
        <v>222.375</v>
      </c>
      <c r="AS78" s="52">
        <f t="shared" si="79"/>
        <v>18.53125</v>
      </c>
      <c r="AT78" s="52">
        <f t="shared" si="80"/>
        <v>790.625</v>
      </c>
      <c r="AU78" s="52">
        <f t="shared" si="81"/>
        <v>65.88541666666667</v>
      </c>
      <c r="AV78" s="81">
        <v>53.8</v>
      </c>
      <c r="AW78" s="63">
        <f t="shared" si="82"/>
        <v>10.56976171875</v>
      </c>
      <c r="AX78" s="119">
        <v>46.9</v>
      </c>
      <c r="AY78" s="125">
        <v>0</v>
      </c>
      <c r="AZ78" s="238">
        <f t="shared" si="83"/>
        <v>3.555052790346908</v>
      </c>
      <c r="BA78" s="67">
        <v>180</v>
      </c>
      <c r="BB78" s="131">
        <f t="shared" si="84"/>
        <v>0.4636888481219355</v>
      </c>
      <c r="BC78" s="63">
        <f t="shared" si="85"/>
        <v>0.49274361277613155</v>
      </c>
      <c r="BD78" s="211">
        <f t="shared" si="86"/>
        <v>0.65</v>
      </c>
      <c r="BE78" s="89" t="str">
        <f t="shared" si="87"/>
        <v>OK</v>
      </c>
      <c r="BF78" s="89" t="str">
        <f t="shared" si="88"/>
        <v>OK</v>
      </c>
    </row>
    <row r="79" spans="2:58" ht="11.25">
      <c r="B79" s="254">
        <v>30</v>
      </c>
      <c r="C79" s="509">
        <f>B79*V79*$H79/1000</f>
        <v>15.675</v>
      </c>
      <c r="D79" s="54"/>
      <c r="E79" s="436" t="s">
        <v>218</v>
      </c>
      <c r="F79" s="56">
        <v>2</v>
      </c>
      <c r="G79" s="179" t="s">
        <v>219</v>
      </c>
      <c r="H79" s="179">
        <v>19</v>
      </c>
      <c r="I79" s="390"/>
      <c r="J79" s="80">
        <v>5.57</v>
      </c>
      <c r="K79" s="80">
        <v>12.2</v>
      </c>
      <c r="L79" s="296">
        <v>0.235</v>
      </c>
      <c r="M79" s="410"/>
      <c r="N79" s="391"/>
      <c r="O79" s="216" t="str">
        <f t="shared" si="62"/>
        <v>NO</v>
      </c>
      <c r="P79" s="11">
        <v>50</v>
      </c>
      <c r="Q79" s="13">
        <v>1.5</v>
      </c>
      <c r="R79" s="11">
        <v>4</v>
      </c>
      <c r="S79" s="74">
        <v>4</v>
      </c>
      <c r="T79" s="11">
        <v>115</v>
      </c>
      <c r="U79" s="81">
        <v>75</v>
      </c>
      <c r="V79" s="80">
        <v>27.5</v>
      </c>
      <c r="W79" s="23">
        <f t="shared" si="63"/>
        <v>75</v>
      </c>
      <c r="X79" s="27">
        <f t="shared" si="64"/>
        <v>278.5</v>
      </c>
      <c r="Y79" s="28">
        <f t="shared" si="65"/>
        <v>1.092156862745098</v>
      </c>
      <c r="Z79" s="102">
        <f t="shared" si="66"/>
        <v>199.55753676470587</v>
      </c>
      <c r="AA79" s="162">
        <f t="shared" si="67"/>
        <v>1</v>
      </c>
      <c r="AB79" s="209">
        <f t="shared" si="68"/>
        <v>86.00999999999999</v>
      </c>
      <c r="AC79" s="6">
        <v>17.2</v>
      </c>
      <c r="AD79" s="143">
        <f t="shared" si="69"/>
        <v>32.383720930232556</v>
      </c>
      <c r="AE79" s="4">
        <v>30</v>
      </c>
      <c r="AF79" s="4">
        <v>1.6</v>
      </c>
      <c r="AG79" s="141">
        <v>29</v>
      </c>
      <c r="AH79" s="141">
        <v>0</v>
      </c>
      <c r="AI79" s="144">
        <f t="shared" si="70"/>
        <v>397.75</v>
      </c>
      <c r="AJ79" s="24">
        <v>115</v>
      </c>
      <c r="AK79" s="142">
        <f t="shared" si="71"/>
        <v>1</v>
      </c>
      <c r="AL79" s="143">
        <f t="shared" si="72"/>
        <v>718.75</v>
      </c>
      <c r="AM79" s="143">
        <f t="shared" si="73"/>
        <v>1627.3</v>
      </c>
      <c r="AN79" s="143">
        <f t="shared" si="74"/>
        <v>556.8499999999999</v>
      </c>
      <c r="AO79" s="142">
        <f t="shared" si="75"/>
        <v>153.830703125</v>
      </c>
      <c r="AP79" s="51">
        <f t="shared" si="76"/>
        <v>22.375375</v>
      </c>
      <c r="AQ79" s="90" t="str">
        <f t="shared" si="77"/>
        <v>OK</v>
      </c>
      <c r="AR79" s="103">
        <f t="shared" si="78"/>
        <v>210.25</v>
      </c>
      <c r="AS79" s="235">
        <f t="shared" si="79"/>
        <v>17.520833333333332</v>
      </c>
      <c r="AT79" s="143">
        <f t="shared" si="80"/>
        <v>718.75</v>
      </c>
      <c r="AU79" s="143">
        <f t="shared" si="81"/>
        <v>59.895833333333336</v>
      </c>
      <c r="AV79" s="24">
        <v>130</v>
      </c>
      <c r="AW79" s="68">
        <f t="shared" si="82"/>
        <v>19.8751953125</v>
      </c>
      <c r="AX79" s="118">
        <v>75.4</v>
      </c>
      <c r="AY79" s="50">
        <v>0</v>
      </c>
      <c r="AZ79" s="237">
        <f t="shared" si="83"/>
        <v>3.453921568627451</v>
      </c>
      <c r="BA79" s="66">
        <v>383</v>
      </c>
      <c r="BB79" s="162">
        <f t="shared" si="84"/>
        <v>0.7176421649639422</v>
      </c>
      <c r="BC79" s="68">
        <f t="shared" si="85"/>
        <v>0.8327111487793453</v>
      </c>
      <c r="BD79" s="102">
        <f t="shared" si="86"/>
        <v>0.9166666666666667</v>
      </c>
      <c r="BE79" s="90" t="str">
        <f t="shared" si="87"/>
        <v>OK</v>
      </c>
      <c r="BF79" s="90" t="str">
        <f t="shared" si="88"/>
        <v>OK</v>
      </c>
    </row>
    <row r="80" spans="1:58" ht="11.25">
      <c r="A80" s="174"/>
      <c r="B80" s="254"/>
      <c r="C80" s="505"/>
      <c r="D80" s="54"/>
      <c r="E80" s="152"/>
      <c r="F80" s="79" t="s">
        <v>215</v>
      </c>
      <c r="G80" s="223" t="s">
        <v>219</v>
      </c>
      <c r="H80" s="223">
        <v>19</v>
      </c>
      <c r="I80" s="272"/>
      <c r="J80" s="207">
        <v>5.57</v>
      </c>
      <c r="K80" s="207">
        <v>12.2</v>
      </c>
      <c r="L80" s="225">
        <v>0.235</v>
      </c>
      <c r="M80" s="226"/>
      <c r="N80" s="155"/>
      <c r="O80" s="157" t="str">
        <f t="shared" si="62"/>
        <v>NO</v>
      </c>
      <c r="P80" s="34">
        <v>50</v>
      </c>
      <c r="Q80" s="33">
        <v>1.5</v>
      </c>
      <c r="R80" s="34">
        <v>4</v>
      </c>
      <c r="S80" s="29">
        <v>4</v>
      </c>
      <c r="T80" s="34">
        <v>115</v>
      </c>
      <c r="U80" s="31">
        <v>82.5</v>
      </c>
      <c r="V80" s="80">
        <v>27.5</v>
      </c>
      <c r="W80" s="30">
        <f t="shared" si="63"/>
        <v>82.5</v>
      </c>
      <c r="X80" s="146">
        <f t="shared" si="64"/>
        <v>278.5</v>
      </c>
      <c r="Y80" s="147">
        <f t="shared" si="65"/>
        <v>0.9928698752228164</v>
      </c>
      <c r="Z80" s="211">
        <f t="shared" si="66"/>
        <v>200.5944652406417</v>
      </c>
      <c r="AA80" s="132">
        <f t="shared" si="67"/>
        <v>1</v>
      </c>
      <c r="AB80" s="128">
        <f t="shared" si="68"/>
        <v>86.00999999999999</v>
      </c>
      <c r="AC80" s="227">
        <v>17.2</v>
      </c>
      <c r="AD80" s="52">
        <f t="shared" si="69"/>
        <v>32.383720930232556</v>
      </c>
      <c r="AE80" s="34">
        <v>30</v>
      </c>
      <c r="AF80" s="34">
        <v>1.6</v>
      </c>
      <c r="AG80" s="226">
        <v>29</v>
      </c>
      <c r="AH80" s="226">
        <v>0</v>
      </c>
      <c r="AI80" s="112">
        <f t="shared" si="70"/>
        <v>435.625</v>
      </c>
      <c r="AJ80" s="31">
        <v>115</v>
      </c>
      <c r="AK80" s="30">
        <f t="shared" si="71"/>
        <v>1</v>
      </c>
      <c r="AL80" s="52">
        <f t="shared" si="72"/>
        <v>790.625</v>
      </c>
      <c r="AM80" s="52">
        <f t="shared" si="73"/>
        <v>1787.75</v>
      </c>
      <c r="AN80" s="52">
        <f t="shared" si="74"/>
        <v>609.875</v>
      </c>
      <c r="AO80" s="30">
        <f t="shared" si="75"/>
        <v>168.9982421875</v>
      </c>
      <c r="AP80" s="128">
        <f t="shared" si="76"/>
        <v>24.5815625</v>
      </c>
      <c r="AQ80" s="91" t="str">
        <f t="shared" si="77"/>
        <v>OK</v>
      </c>
      <c r="AR80" s="120">
        <f t="shared" si="78"/>
        <v>229.375</v>
      </c>
      <c r="AS80" s="213">
        <f t="shared" si="79"/>
        <v>19.114583333333332</v>
      </c>
      <c r="AT80" s="52">
        <f t="shared" si="80"/>
        <v>790.625</v>
      </c>
      <c r="AU80" s="52">
        <f t="shared" si="81"/>
        <v>65.88541666666667</v>
      </c>
      <c r="AV80" s="81">
        <v>130</v>
      </c>
      <c r="AW80" s="63">
        <f t="shared" si="82"/>
        <v>21.68310546875</v>
      </c>
      <c r="AX80" s="119">
        <v>75.4</v>
      </c>
      <c r="AY80" s="69">
        <v>0</v>
      </c>
      <c r="AZ80" s="238">
        <f t="shared" si="83"/>
        <v>3.5035650623885917</v>
      </c>
      <c r="BA80" s="87">
        <v>383</v>
      </c>
      <c r="BB80" s="131">
        <f t="shared" si="84"/>
        <v>0.7829211490540037</v>
      </c>
      <c r="BC80" s="63">
        <f t="shared" si="85"/>
        <v>0.9159822636572799</v>
      </c>
      <c r="BD80" s="130">
        <f t="shared" si="86"/>
        <v>0.9166666666666667</v>
      </c>
      <c r="BE80" s="91" t="str">
        <f t="shared" si="87"/>
        <v>OK</v>
      </c>
      <c r="BF80" s="91" t="str">
        <f t="shared" si="88"/>
        <v>OK</v>
      </c>
    </row>
    <row r="81" spans="1:58" s="174" customFormat="1" ht="12" thickBot="1">
      <c r="A81" s="8"/>
      <c r="B81" s="165"/>
      <c r="C81" s="506"/>
      <c r="D81" s="175"/>
      <c r="E81" s="77"/>
      <c r="F81" s="62">
        <v>5</v>
      </c>
      <c r="G81" s="115" t="s">
        <v>219</v>
      </c>
      <c r="H81" s="218">
        <v>19</v>
      </c>
      <c r="I81" s="394"/>
      <c r="J81" s="100">
        <v>5.57</v>
      </c>
      <c r="K81" s="100">
        <v>12.2</v>
      </c>
      <c r="L81" s="116">
        <v>0.235</v>
      </c>
      <c r="M81" s="183"/>
      <c r="N81" s="156"/>
      <c r="O81" s="373" t="str">
        <f t="shared" si="62"/>
        <v>NO</v>
      </c>
      <c r="P81" s="286">
        <v>50</v>
      </c>
      <c r="Q81" s="36">
        <v>1.5</v>
      </c>
      <c r="R81" s="286">
        <v>4</v>
      </c>
      <c r="S81" s="306">
        <v>4</v>
      </c>
      <c r="T81" s="286">
        <v>115</v>
      </c>
      <c r="U81" s="35">
        <v>75</v>
      </c>
      <c r="V81" s="100">
        <v>27.5</v>
      </c>
      <c r="W81" s="30">
        <f t="shared" si="63"/>
        <v>75</v>
      </c>
      <c r="X81" s="146">
        <f t="shared" si="64"/>
        <v>278.5</v>
      </c>
      <c r="Y81" s="147">
        <f t="shared" si="65"/>
        <v>1.092156862745098</v>
      </c>
      <c r="Z81" s="211">
        <f t="shared" si="66"/>
        <v>199.55753676470587</v>
      </c>
      <c r="AA81" s="132">
        <f t="shared" si="67"/>
        <v>1</v>
      </c>
      <c r="AB81" s="128">
        <f t="shared" si="68"/>
        <v>86.00999999999999</v>
      </c>
      <c r="AC81" s="227">
        <v>17.2</v>
      </c>
      <c r="AD81" s="52">
        <f t="shared" si="69"/>
        <v>32.383720930232556</v>
      </c>
      <c r="AE81" s="34">
        <v>30</v>
      </c>
      <c r="AF81" s="34">
        <v>1.6</v>
      </c>
      <c r="AG81" s="226">
        <v>29</v>
      </c>
      <c r="AH81" s="226">
        <v>0</v>
      </c>
      <c r="AI81" s="133">
        <f t="shared" si="70"/>
        <v>397.75</v>
      </c>
      <c r="AJ81" s="183">
        <v>115</v>
      </c>
      <c r="AK81" s="30">
        <f t="shared" si="71"/>
        <v>1</v>
      </c>
      <c r="AL81" s="52">
        <f t="shared" si="72"/>
        <v>718.75</v>
      </c>
      <c r="AM81" s="52">
        <f t="shared" si="73"/>
        <v>1627.3</v>
      </c>
      <c r="AN81" s="52">
        <f t="shared" si="74"/>
        <v>556.8499999999999</v>
      </c>
      <c r="AO81" s="30">
        <f t="shared" si="75"/>
        <v>153.830703125</v>
      </c>
      <c r="AP81" s="128">
        <f t="shared" si="76"/>
        <v>22.375375</v>
      </c>
      <c r="AQ81" s="91" t="str">
        <f t="shared" si="77"/>
        <v>OK</v>
      </c>
      <c r="AR81" s="120">
        <f t="shared" si="78"/>
        <v>210.25</v>
      </c>
      <c r="AS81" s="52">
        <f t="shared" si="79"/>
        <v>17.520833333333332</v>
      </c>
      <c r="AT81" s="85">
        <f t="shared" si="80"/>
        <v>718.75</v>
      </c>
      <c r="AU81" s="85">
        <f t="shared" si="81"/>
        <v>59.895833333333336</v>
      </c>
      <c r="AV81" s="108">
        <v>130</v>
      </c>
      <c r="AW81" s="63">
        <f t="shared" si="82"/>
        <v>19.8751953125</v>
      </c>
      <c r="AX81" s="119">
        <v>75.4</v>
      </c>
      <c r="AY81" s="227">
        <v>0</v>
      </c>
      <c r="AZ81" s="437">
        <f t="shared" si="83"/>
        <v>3.453921568627451</v>
      </c>
      <c r="BA81" s="110">
        <v>383</v>
      </c>
      <c r="BB81" s="131">
        <f t="shared" si="84"/>
        <v>0.7176421649639422</v>
      </c>
      <c r="BC81" s="63">
        <f t="shared" si="85"/>
        <v>0.8327111487793453</v>
      </c>
      <c r="BD81" s="130">
        <f t="shared" si="86"/>
        <v>0.9166666666666667</v>
      </c>
      <c r="BE81" s="91" t="str">
        <f t="shared" si="87"/>
        <v>OK</v>
      </c>
      <c r="BF81" s="91" t="str">
        <f t="shared" si="88"/>
        <v>OK</v>
      </c>
    </row>
    <row r="82" spans="2:58" ht="11.25">
      <c r="B82" s="254">
        <v>14</v>
      </c>
      <c r="C82" s="509">
        <f>B82*V82*$H82/1000</f>
        <v>3.36</v>
      </c>
      <c r="D82" s="54"/>
      <c r="E82" s="76" t="s">
        <v>220</v>
      </c>
      <c r="F82" s="438">
        <v>2</v>
      </c>
      <c r="G82" s="179" t="s">
        <v>73</v>
      </c>
      <c r="H82" s="139">
        <v>12</v>
      </c>
      <c r="I82" s="271"/>
      <c r="J82" s="140">
        <v>3.54</v>
      </c>
      <c r="K82" s="140">
        <v>9.87</v>
      </c>
      <c r="L82" s="230">
        <v>0.19</v>
      </c>
      <c r="M82" s="248"/>
      <c r="N82" s="154"/>
      <c r="O82" s="208" t="str">
        <f t="shared" si="62"/>
        <v>NO</v>
      </c>
      <c r="P82" s="4">
        <v>50</v>
      </c>
      <c r="Q82" s="6">
        <v>1.5</v>
      </c>
      <c r="R82" s="4">
        <v>4</v>
      </c>
      <c r="S82" s="140">
        <v>4</v>
      </c>
      <c r="T82" s="4">
        <v>115</v>
      </c>
      <c r="U82" s="24">
        <v>81</v>
      </c>
      <c r="V82" s="140">
        <v>20</v>
      </c>
      <c r="W82" s="23">
        <f t="shared" si="63"/>
        <v>60</v>
      </c>
      <c r="X82" s="27">
        <f t="shared" si="64"/>
        <v>177</v>
      </c>
      <c r="Y82" s="28">
        <f t="shared" si="65"/>
        <v>0.8676470588235294</v>
      </c>
      <c r="Z82" s="102">
        <f t="shared" si="66"/>
        <v>112.85311764705881</v>
      </c>
      <c r="AA82" s="162">
        <f t="shared" si="67"/>
        <v>1</v>
      </c>
      <c r="AB82" s="209">
        <f t="shared" si="68"/>
        <v>56.25899999999999</v>
      </c>
      <c r="AC82" s="6">
        <v>17.2</v>
      </c>
      <c r="AD82" s="143">
        <f t="shared" si="69"/>
        <v>20.58139534883721</v>
      </c>
      <c r="AE82" s="4">
        <v>30</v>
      </c>
      <c r="AF82" s="4">
        <v>1.6</v>
      </c>
      <c r="AG82" s="141">
        <v>29</v>
      </c>
      <c r="AH82" s="141">
        <v>0</v>
      </c>
      <c r="AI82" s="144">
        <f t="shared" si="70"/>
        <v>421.05</v>
      </c>
      <c r="AJ82" s="24">
        <v>115</v>
      </c>
      <c r="AK82" s="142">
        <f t="shared" si="71"/>
        <v>1</v>
      </c>
      <c r="AL82" s="143">
        <f t="shared" si="72"/>
        <v>776.25</v>
      </c>
      <c r="AM82" s="143">
        <f t="shared" si="73"/>
        <v>1747.26</v>
      </c>
      <c r="AN82" s="143">
        <f t="shared" si="74"/>
        <v>589.47</v>
      </c>
      <c r="AO82" s="142">
        <f t="shared" si="75"/>
        <v>87.363</v>
      </c>
      <c r="AP82" s="51">
        <f t="shared" si="76"/>
        <v>17.4726</v>
      </c>
      <c r="AQ82" s="90" t="str">
        <f t="shared" si="77"/>
        <v>OK</v>
      </c>
      <c r="AR82" s="103">
        <f t="shared" si="78"/>
        <v>218.55</v>
      </c>
      <c r="AS82" s="235">
        <f t="shared" si="79"/>
        <v>18.212500000000002</v>
      </c>
      <c r="AT82" s="143">
        <f t="shared" si="80"/>
        <v>776.25</v>
      </c>
      <c r="AU82" s="143">
        <f t="shared" si="81"/>
        <v>64.6875</v>
      </c>
      <c r="AV82" s="24">
        <v>53.8</v>
      </c>
      <c r="AW82" s="68">
        <f t="shared" si="82"/>
        <v>10.9275</v>
      </c>
      <c r="AX82" s="118">
        <v>46.9</v>
      </c>
      <c r="AY82" s="50">
        <v>0</v>
      </c>
      <c r="AZ82" s="237">
        <f t="shared" si="83"/>
        <v>3.5661764705882355</v>
      </c>
      <c r="BA82" s="66">
        <v>180</v>
      </c>
      <c r="BB82" s="162">
        <f t="shared" si="84"/>
        <v>0.5042815023714909</v>
      </c>
      <c r="BC82" s="68">
        <f t="shared" si="85"/>
        <v>0.5353448275862069</v>
      </c>
      <c r="BD82" s="102">
        <f t="shared" si="86"/>
        <v>0.6666666666666666</v>
      </c>
      <c r="BE82" s="90" t="str">
        <f t="shared" si="87"/>
        <v>OK</v>
      </c>
      <c r="BF82" s="90" t="str">
        <f t="shared" si="88"/>
        <v>OK</v>
      </c>
    </row>
    <row r="83" spans="2:58" ht="11.25">
      <c r="B83" s="119"/>
      <c r="C83" s="508"/>
      <c r="D83" s="54"/>
      <c r="E83" s="76" t="s">
        <v>221</v>
      </c>
      <c r="F83" s="79" t="s">
        <v>215</v>
      </c>
      <c r="G83" s="223" t="s">
        <v>73</v>
      </c>
      <c r="H83" s="223">
        <v>12</v>
      </c>
      <c r="I83" s="272"/>
      <c r="J83" s="29">
        <v>3.54</v>
      </c>
      <c r="K83" s="207">
        <v>9.87</v>
      </c>
      <c r="L83" s="225">
        <v>0.19</v>
      </c>
      <c r="M83" s="226"/>
      <c r="N83" s="155"/>
      <c r="O83" s="157" t="str">
        <f t="shared" si="62"/>
        <v>NO</v>
      </c>
      <c r="P83" s="34">
        <v>50</v>
      </c>
      <c r="Q83" s="33">
        <v>1.5</v>
      </c>
      <c r="R83" s="34">
        <v>4</v>
      </c>
      <c r="S83" s="29">
        <v>4</v>
      </c>
      <c r="T83" s="34">
        <v>115</v>
      </c>
      <c r="U83" s="81">
        <v>82.5</v>
      </c>
      <c r="V83" s="29">
        <v>20</v>
      </c>
      <c r="W83" s="30">
        <f t="shared" si="63"/>
        <v>60</v>
      </c>
      <c r="X83" s="146">
        <f t="shared" si="64"/>
        <v>177</v>
      </c>
      <c r="Y83" s="147">
        <f t="shared" si="65"/>
        <v>0.8676470588235294</v>
      </c>
      <c r="Z83" s="130">
        <f t="shared" si="66"/>
        <v>112.85311764705881</v>
      </c>
      <c r="AA83" s="131">
        <f t="shared" si="67"/>
        <v>1</v>
      </c>
      <c r="AB83" s="128">
        <f t="shared" si="68"/>
        <v>56.25899999999999</v>
      </c>
      <c r="AC83" s="227">
        <v>17.2</v>
      </c>
      <c r="AD83" s="52">
        <f t="shared" si="69"/>
        <v>20.58139534883721</v>
      </c>
      <c r="AE83" s="34">
        <v>30</v>
      </c>
      <c r="AF83" s="34">
        <v>1.6</v>
      </c>
      <c r="AG83" s="226">
        <v>29</v>
      </c>
      <c r="AH83" s="226">
        <v>0</v>
      </c>
      <c r="AI83" s="112">
        <f t="shared" si="70"/>
        <v>428.625</v>
      </c>
      <c r="AJ83" s="31">
        <v>115</v>
      </c>
      <c r="AK83" s="30">
        <f t="shared" si="71"/>
        <v>1</v>
      </c>
      <c r="AL83" s="52">
        <f t="shared" si="72"/>
        <v>790.625</v>
      </c>
      <c r="AM83" s="52">
        <f t="shared" si="73"/>
        <v>1779.35</v>
      </c>
      <c r="AN83" s="52">
        <f t="shared" si="74"/>
        <v>600.0749999999999</v>
      </c>
      <c r="AO83" s="30">
        <f t="shared" si="75"/>
        <v>88.9675</v>
      </c>
      <c r="AP83" s="128">
        <f t="shared" si="76"/>
        <v>17.7935</v>
      </c>
      <c r="AQ83" s="91" t="str">
        <f t="shared" si="77"/>
        <v>OK</v>
      </c>
      <c r="AR83" s="120">
        <f t="shared" si="78"/>
        <v>222.375</v>
      </c>
      <c r="AS83" s="213">
        <f t="shared" si="79"/>
        <v>18.53125</v>
      </c>
      <c r="AT83" s="52">
        <f t="shared" si="80"/>
        <v>790.625</v>
      </c>
      <c r="AU83" s="52">
        <f t="shared" si="81"/>
        <v>65.88541666666667</v>
      </c>
      <c r="AV83" s="81">
        <v>53.8</v>
      </c>
      <c r="AW83" s="88">
        <f t="shared" si="82"/>
        <v>11.11875</v>
      </c>
      <c r="AX83" s="119">
        <v>46.9</v>
      </c>
      <c r="AY83" s="69">
        <v>0</v>
      </c>
      <c r="AZ83" s="437">
        <f t="shared" si="83"/>
        <v>3.5661764705882355</v>
      </c>
      <c r="BA83" s="87">
        <v>180</v>
      </c>
      <c r="BB83" s="131">
        <f t="shared" si="84"/>
        <v>0.5131072939366748</v>
      </c>
      <c r="BC83" s="63">
        <f t="shared" si="85"/>
        <v>0.5452586206896552</v>
      </c>
      <c r="BD83" s="130">
        <f t="shared" si="86"/>
        <v>0.6666666666666666</v>
      </c>
      <c r="BE83" s="91" t="str">
        <f t="shared" si="87"/>
        <v>OK</v>
      </c>
      <c r="BF83" s="91" t="str">
        <f t="shared" si="88"/>
        <v>OK</v>
      </c>
    </row>
    <row r="84" spans="1:58" s="174" customFormat="1" ht="12" thickBot="1">
      <c r="A84" s="8"/>
      <c r="B84" s="381"/>
      <c r="C84" s="500"/>
      <c r="D84" s="175"/>
      <c r="E84" s="77"/>
      <c r="F84" s="304">
        <v>5</v>
      </c>
      <c r="G84" s="218" t="s">
        <v>73</v>
      </c>
      <c r="H84" s="153">
        <v>12</v>
      </c>
      <c r="I84" s="273"/>
      <c r="J84" s="100">
        <v>3.54</v>
      </c>
      <c r="K84" s="100">
        <v>9.87</v>
      </c>
      <c r="L84" s="116">
        <v>0.19</v>
      </c>
      <c r="M84" s="183"/>
      <c r="N84" s="156"/>
      <c r="O84" s="158" t="str">
        <f t="shared" si="62"/>
        <v>NO</v>
      </c>
      <c r="P84" s="109">
        <v>50</v>
      </c>
      <c r="Q84" s="95">
        <v>1.5</v>
      </c>
      <c r="R84" s="109">
        <v>4</v>
      </c>
      <c r="S84" s="100">
        <v>4</v>
      </c>
      <c r="T84" s="109">
        <v>115</v>
      </c>
      <c r="U84" s="108">
        <v>75</v>
      </c>
      <c r="V84" s="100">
        <v>20</v>
      </c>
      <c r="W84" s="107">
        <f t="shared" si="63"/>
        <v>60</v>
      </c>
      <c r="X84" s="105">
        <f t="shared" si="64"/>
        <v>177</v>
      </c>
      <c r="Y84" s="117">
        <f t="shared" si="65"/>
        <v>0.8676470588235294</v>
      </c>
      <c r="Z84" s="113">
        <f t="shared" si="66"/>
        <v>112.85311764705881</v>
      </c>
      <c r="AA84" s="164">
        <f t="shared" si="67"/>
        <v>1</v>
      </c>
      <c r="AB84" s="129">
        <f t="shared" si="68"/>
        <v>56.25899999999999</v>
      </c>
      <c r="AC84" s="228">
        <v>17.2</v>
      </c>
      <c r="AD84" s="106">
        <f t="shared" si="69"/>
        <v>20.58139534883721</v>
      </c>
      <c r="AE84" s="109">
        <v>30</v>
      </c>
      <c r="AF84" s="109">
        <v>1.6</v>
      </c>
      <c r="AG84" s="183">
        <v>29</v>
      </c>
      <c r="AH84" s="183">
        <v>0</v>
      </c>
      <c r="AI84" s="133">
        <f t="shared" si="70"/>
        <v>390.75</v>
      </c>
      <c r="AJ84" s="183">
        <v>115</v>
      </c>
      <c r="AK84" s="107">
        <f t="shared" si="71"/>
        <v>1</v>
      </c>
      <c r="AL84" s="106">
        <f t="shared" si="72"/>
        <v>718.75</v>
      </c>
      <c r="AM84" s="106">
        <f t="shared" si="73"/>
        <v>1618.9</v>
      </c>
      <c r="AN84" s="106">
        <f t="shared" si="74"/>
        <v>547.05</v>
      </c>
      <c r="AO84" s="107">
        <f t="shared" si="75"/>
        <v>80.945</v>
      </c>
      <c r="AP84" s="129">
        <f t="shared" si="76"/>
        <v>16.189</v>
      </c>
      <c r="AQ84" s="92" t="str">
        <f t="shared" si="77"/>
        <v>OK</v>
      </c>
      <c r="AR84" s="104">
        <f t="shared" si="78"/>
        <v>203.25</v>
      </c>
      <c r="AS84" s="221">
        <f t="shared" si="79"/>
        <v>16.9375</v>
      </c>
      <c r="AT84" s="106">
        <f t="shared" si="80"/>
        <v>718.75</v>
      </c>
      <c r="AU84" s="106">
        <f t="shared" si="81"/>
        <v>59.895833333333336</v>
      </c>
      <c r="AV84" s="108">
        <v>53.8</v>
      </c>
      <c r="AW84" s="111">
        <f t="shared" si="82"/>
        <v>10.1625</v>
      </c>
      <c r="AX84" s="165">
        <v>46.9</v>
      </c>
      <c r="AY84" s="228">
        <v>0</v>
      </c>
      <c r="AZ84" s="240">
        <f t="shared" si="83"/>
        <v>3.5661764705882355</v>
      </c>
      <c r="BA84" s="110">
        <v>180</v>
      </c>
      <c r="BB84" s="164">
        <f t="shared" si="84"/>
        <v>0.468978336110755</v>
      </c>
      <c r="BC84" s="111">
        <f t="shared" si="85"/>
        <v>0.49568965517241387</v>
      </c>
      <c r="BD84" s="113">
        <f t="shared" si="86"/>
        <v>0.6666666666666666</v>
      </c>
      <c r="BE84" s="92" t="str">
        <f t="shared" si="87"/>
        <v>OK</v>
      </c>
      <c r="BF84" s="92" t="str">
        <f t="shared" si="88"/>
        <v>OK</v>
      </c>
    </row>
    <row r="86" spans="1:12" ht="12" thickBot="1">
      <c r="A86" s="167"/>
      <c r="B86" s="13"/>
      <c r="C86" s="318"/>
      <c r="E86" s="276"/>
      <c r="F86" s="277" t="s">
        <v>120</v>
      </c>
      <c r="G86" s="278"/>
      <c r="H86" s="278"/>
      <c r="I86" s="279" t="s">
        <v>121</v>
      </c>
      <c r="J86" s="279"/>
      <c r="K86" s="280" t="s">
        <v>122</v>
      </c>
      <c r="L86" s="167"/>
    </row>
    <row r="87" spans="1:12" ht="12" thickTop="1">
      <c r="A87" s="13"/>
      <c r="B87" s="13"/>
      <c r="C87" s="318"/>
      <c r="E87" s="241"/>
      <c r="H87" s="8" t="s">
        <v>21</v>
      </c>
      <c r="J87" s="281"/>
      <c r="K87" s="167"/>
      <c r="L87" s="167"/>
    </row>
    <row r="88" spans="2:12" ht="11.25">
      <c r="B88" s="13"/>
      <c r="C88" s="318"/>
      <c r="E88" s="276"/>
      <c r="F88" s="8"/>
      <c r="J88" s="13"/>
      <c r="K88" s="10"/>
      <c r="L88" s="13"/>
    </row>
    <row r="89" spans="2:58" ht="12" thickBot="1">
      <c r="B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</row>
    <row r="90" spans="1:58" s="174" customFormat="1" ht="12" thickBot="1">
      <c r="A90" s="54"/>
      <c r="B90" s="138"/>
      <c r="C90" s="502"/>
      <c r="D90" s="175"/>
      <c r="E90" s="412" t="s">
        <v>190</v>
      </c>
      <c r="F90" s="418" t="s">
        <v>222</v>
      </c>
      <c r="G90" s="176"/>
      <c r="H90" s="176"/>
      <c r="I90" s="176"/>
      <c r="J90" s="176"/>
      <c r="K90" s="38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413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Q90" s="415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415"/>
    </row>
    <row r="91" spans="1:58" ht="11.25">
      <c r="A91" s="54"/>
      <c r="B91" s="446" t="s">
        <v>244</v>
      </c>
      <c r="C91" s="497" t="s">
        <v>56</v>
      </c>
      <c r="D91" s="54"/>
      <c r="E91" s="76" t="s">
        <v>124</v>
      </c>
      <c r="F91" s="56" t="s">
        <v>124</v>
      </c>
      <c r="G91" s="6" t="s">
        <v>58</v>
      </c>
      <c r="H91" s="6"/>
      <c r="I91" s="6"/>
      <c r="J91" s="6"/>
      <c r="K91" s="6"/>
      <c r="L91" s="6"/>
      <c r="M91" s="6"/>
      <c r="N91" s="6"/>
      <c r="O91" s="6"/>
      <c r="P91" s="3"/>
      <c r="Q91" s="38" t="s">
        <v>34</v>
      </c>
      <c r="R91" s="70"/>
      <c r="S91" s="26" t="s">
        <v>61</v>
      </c>
      <c r="T91" s="50"/>
      <c r="U91" s="5" t="s">
        <v>25</v>
      </c>
      <c r="V91" s="4"/>
      <c r="W91" s="4"/>
      <c r="X91" s="14" t="s">
        <v>49</v>
      </c>
      <c r="Y91" s="7"/>
      <c r="Z91" s="37"/>
      <c r="AA91" s="163" t="s">
        <v>96</v>
      </c>
      <c r="AB91" s="159"/>
      <c r="AC91" s="38" t="s">
        <v>17</v>
      </c>
      <c r="AD91" s="4"/>
      <c r="AE91" s="15" t="s">
        <v>7</v>
      </c>
      <c r="AF91" s="15" t="s">
        <v>7</v>
      </c>
      <c r="AG91" s="259" t="s">
        <v>7</v>
      </c>
      <c r="AH91" s="14" t="s">
        <v>7</v>
      </c>
      <c r="AI91" s="15" t="s">
        <v>7</v>
      </c>
      <c r="AJ91" s="45" t="s">
        <v>8</v>
      </c>
      <c r="AK91" s="98" t="s">
        <v>8</v>
      </c>
      <c r="AL91" s="43" t="s">
        <v>8</v>
      </c>
      <c r="AM91" s="43" t="s">
        <v>97</v>
      </c>
      <c r="AN91" s="12" t="s">
        <v>98</v>
      </c>
      <c r="AO91" s="3"/>
      <c r="AP91" s="7"/>
      <c r="AQ91" s="39" t="s">
        <v>50</v>
      </c>
      <c r="AR91" s="42" t="s">
        <v>7</v>
      </c>
      <c r="AS91" s="14" t="s">
        <v>7</v>
      </c>
      <c r="AT91" s="15" t="s">
        <v>8</v>
      </c>
      <c r="AU91" s="15" t="s">
        <v>8</v>
      </c>
      <c r="AV91" s="42" t="s">
        <v>34</v>
      </c>
      <c r="AW91" s="41" t="s">
        <v>14</v>
      </c>
      <c r="AX91" s="41" t="s">
        <v>51</v>
      </c>
      <c r="AY91" s="15" t="s">
        <v>9</v>
      </c>
      <c r="AZ91" s="15" t="s">
        <v>10</v>
      </c>
      <c r="BA91" s="17" t="s">
        <v>29</v>
      </c>
      <c r="BB91" s="42" t="s">
        <v>41</v>
      </c>
      <c r="BC91" s="41" t="s">
        <v>42</v>
      </c>
      <c r="BD91" s="57" t="s">
        <v>134</v>
      </c>
      <c r="BE91" s="55" t="s">
        <v>7</v>
      </c>
      <c r="BF91" s="56" t="s">
        <v>8</v>
      </c>
    </row>
    <row r="92" spans="2:58" ht="11.25">
      <c r="B92" s="93"/>
      <c r="C92" s="498"/>
      <c r="D92" s="54"/>
      <c r="E92" s="76"/>
      <c r="F92" s="44"/>
      <c r="G92" s="64"/>
      <c r="H92" s="64"/>
      <c r="I92" s="64"/>
      <c r="J92" s="64"/>
      <c r="K92" s="64"/>
      <c r="L92" s="64"/>
      <c r="M92" s="64"/>
      <c r="N92" s="64"/>
      <c r="O92" s="64"/>
      <c r="P92" s="69"/>
      <c r="Q92" s="14" t="s">
        <v>1</v>
      </c>
      <c r="R92" s="71"/>
      <c r="S92" s="72" t="s">
        <v>62</v>
      </c>
      <c r="T92" s="72" t="s">
        <v>63</v>
      </c>
      <c r="U92" s="12" t="s">
        <v>26</v>
      </c>
      <c r="V92" s="11"/>
      <c r="W92" s="11"/>
      <c r="Y92" s="16"/>
      <c r="Z92" s="41" t="s">
        <v>51</v>
      </c>
      <c r="AA92" s="160" t="s">
        <v>74</v>
      </c>
      <c r="AB92" s="41" t="s">
        <v>52</v>
      </c>
      <c r="AC92" s="14" t="s">
        <v>18</v>
      </c>
      <c r="AD92" s="15" t="s">
        <v>30</v>
      </c>
      <c r="AE92" s="15" t="s">
        <v>70</v>
      </c>
      <c r="AF92" s="15" t="s">
        <v>34</v>
      </c>
      <c r="AG92" s="15" t="s">
        <v>61</v>
      </c>
      <c r="AH92" s="98" t="s">
        <v>87</v>
      </c>
      <c r="AI92" s="15" t="s">
        <v>62</v>
      </c>
      <c r="AJ92" s="10"/>
      <c r="AK92" s="98" t="s">
        <v>67</v>
      </c>
      <c r="AL92" s="43" t="s">
        <v>81</v>
      </c>
      <c r="AM92" s="43" t="s">
        <v>15</v>
      </c>
      <c r="AN92" s="12"/>
      <c r="AO92" s="42" t="s">
        <v>14</v>
      </c>
      <c r="AP92" s="17" t="s">
        <v>36</v>
      </c>
      <c r="AQ92" s="44" t="s">
        <v>37</v>
      </c>
      <c r="AR92" s="42" t="s">
        <v>85</v>
      </c>
      <c r="AS92" s="13"/>
      <c r="AT92" s="11"/>
      <c r="AU92" s="11"/>
      <c r="AV92" s="42" t="s">
        <v>33</v>
      </c>
      <c r="AW92" s="17" t="s">
        <v>85</v>
      </c>
      <c r="AX92" s="40" t="s">
        <v>34</v>
      </c>
      <c r="AY92" s="10"/>
      <c r="AZ92" s="13"/>
      <c r="BA92" s="17" t="s">
        <v>46</v>
      </c>
      <c r="BB92" s="42" t="s">
        <v>13</v>
      </c>
      <c r="BC92" s="41"/>
      <c r="BD92" s="54"/>
      <c r="BE92" s="58" t="s">
        <v>39</v>
      </c>
      <c r="BF92" s="44" t="s">
        <v>39</v>
      </c>
    </row>
    <row r="93" spans="2:58" ht="11.25">
      <c r="B93" s="93"/>
      <c r="C93" s="498"/>
      <c r="D93" s="54"/>
      <c r="E93" s="76"/>
      <c r="F93" s="44"/>
      <c r="G93" s="73" t="s">
        <v>59</v>
      </c>
      <c r="H93" s="10" t="s">
        <v>56</v>
      </c>
      <c r="I93" s="10" t="s">
        <v>88</v>
      </c>
      <c r="J93" s="15" t="s">
        <v>47</v>
      </c>
      <c r="K93" s="15" t="s">
        <v>0</v>
      </c>
      <c r="L93" s="15" t="s">
        <v>2</v>
      </c>
      <c r="M93" s="15" t="s">
        <v>90</v>
      </c>
      <c r="N93" s="15" t="s">
        <v>91</v>
      </c>
      <c r="O93" s="15" t="s">
        <v>95</v>
      </c>
      <c r="P93" s="15" t="s">
        <v>3</v>
      </c>
      <c r="Q93" s="14" t="s">
        <v>19</v>
      </c>
      <c r="R93" s="15" t="s">
        <v>4</v>
      </c>
      <c r="S93" s="15" t="s">
        <v>19</v>
      </c>
      <c r="T93" s="15" t="s">
        <v>56</v>
      </c>
      <c r="U93" s="12" t="s">
        <v>16</v>
      </c>
      <c r="V93" s="15" t="s">
        <v>21</v>
      </c>
      <c r="W93" s="15" t="s">
        <v>48</v>
      </c>
      <c r="X93" s="14" t="s">
        <v>6</v>
      </c>
      <c r="Y93" s="17" t="s">
        <v>5</v>
      </c>
      <c r="Z93" s="41" t="s">
        <v>53</v>
      </c>
      <c r="AA93" s="161"/>
      <c r="AB93" s="41"/>
      <c r="AC93" s="14" t="s">
        <v>32</v>
      </c>
      <c r="AD93" s="15" t="s">
        <v>31</v>
      </c>
      <c r="AE93" s="15" t="s">
        <v>71</v>
      </c>
      <c r="AF93" s="15" t="s">
        <v>72</v>
      </c>
      <c r="AG93" s="15"/>
      <c r="AH93" s="98" t="s">
        <v>86</v>
      </c>
      <c r="AI93" s="15"/>
      <c r="AJ93" s="11"/>
      <c r="AK93" s="98" t="s">
        <v>27</v>
      </c>
      <c r="AL93" s="43" t="s">
        <v>82</v>
      </c>
      <c r="AM93" s="15" t="s">
        <v>83</v>
      </c>
      <c r="AN93" s="42" t="s">
        <v>83</v>
      </c>
      <c r="AO93" s="42"/>
      <c r="AP93" s="17"/>
      <c r="AQ93" s="41" t="s">
        <v>54</v>
      </c>
      <c r="AR93" s="134"/>
      <c r="AS93" s="11"/>
      <c r="AT93" s="11"/>
      <c r="AU93" s="11"/>
      <c r="AV93" s="11"/>
      <c r="AW93" s="16"/>
      <c r="AX93" s="40" t="s">
        <v>84</v>
      </c>
      <c r="AY93" s="10"/>
      <c r="AZ93" s="11"/>
      <c r="BA93" s="54"/>
      <c r="BB93" s="10"/>
      <c r="BC93" s="16"/>
      <c r="BD93" s="93"/>
      <c r="BE93" s="93"/>
      <c r="BF93" s="93"/>
    </row>
    <row r="94" spans="2:58" ht="12" thickBot="1">
      <c r="B94" s="381"/>
      <c r="C94" s="510" t="s">
        <v>246</v>
      </c>
      <c r="D94" s="54"/>
      <c r="E94" s="77"/>
      <c r="F94" s="62"/>
      <c r="G94" s="18" t="s">
        <v>60</v>
      </c>
      <c r="H94" s="18" t="s">
        <v>11</v>
      </c>
      <c r="I94" s="18"/>
      <c r="J94" s="1" t="s">
        <v>43</v>
      </c>
      <c r="K94" s="1" t="s">
        <v>40</v>
      </c>
      <c r="L94" s="1" t="s">
        <v>40</v>
      </c>
      <c r="M94" s="1"/>
      <c r="N94" s="1"/>
      <c r="O94" s="1"/>
      <c r="P94" s="1" t="s">
        <v>44</v>
      </c>
      <c r="Q94" s="20" t="s">
        <v>40</v>
      </c>
      <c r="R94" s="1" t="s">
        <v>44</v>
      </c>
      <c r="S94" s="1" t="s">
        <v>40</v>
      </c>
      <c r="T94" s="1" t="s">
        <v>57</v>
      </c>
      <c r="U94" s="19" t="s">
        <v>40</v>
      </c>
      <c r="V94" s="1" t="s">
        <v>12</v>
      </c>
      <c r="W94" s="1" t="s">
        <v>40</v>
      </c>
      <c r="X94" s="20" t="s">
        <v>35</v>
      </c>
      <c r="Y94" s="21" t="s">
        <v>40</v>
      </c>
      <c r="Z94" s="46" t="s">
        <v>45</v>
      </c>
      <c r="AA94" s="285"/>
      <c r="AB94" s="46" t="s">
        <v>35</v>
      </c>
      <c r="AC94" s="20" t="s">
        <v>24</v>
      </c>
      <c r="AD94" s="1" t="s">
        <v>22</v>
      </c>
      <c r="AE94" s="1" t="s">
        <v>28</v>
      </c>
      <c r="AF94" s="1" t="s">
        <v>28</v>
      </c>
      <c r="AG94" s="2" t="s">
        <v>28</v>
      </c>
      <c r="AH94" s="2" t="s">
        <v>11</v>
      </c>
      <c r="AI94" s="1" t="s">
        <v>11</v>
      </c>
      <c r="AJ94" s="47" t="s">
        <v>28</v>
      </c>
      <c r="AK94" s="286"/>
      <c r="AL94" s="48" t="s">
        <v>11</v>
      </c>
      <c r="AM94" s="354" t="s">
        <v>11</v>
      </c>
      <c r="AN94" s="309" t="s">
        <v>11</v>
      </c>
      <c r="AO94" s="2" t="s">
        <v>45</v>
      </c>
      <c r="AP94" s="21" t="s">
        <v>35</v>
      </c>
      <c r="AQ94" s="49" t="s">
        <v>23</v>
      </c>
      <c r="AR94" s="135" t="s">
        <v>11</v>
      </c>
      <c r="AS94" s="59" t="s">
        <v>20</v>
      </c>
      <c r="AT94" s="60" t="s">
        <v>11</v>
      </c>
      <c r="AU94" s="60" t="s">
        <v>20</v>
      </c>
      <c r="AV94" s="47" t="s">
        <v>38</v>
      </c>
      <c r="AW94" s="46" t="s">
        <v>45</v>
      </c>
      <c r="AX94" s="46" t="s">
        <v>45</v>
      </c>
      <c r="AY94" s="1" t="s">
        <v>40</v>
      </c>
      <c r="AZ94" s="1" t="s">
        <v>40</v>
      </c>
      <c r="BA94" s="49" t="s">
        <v>38</v>
      </c>
      <c r="BB94" s="2" t="s">
        <v>40</v>
      </c>
      <c r="BC94" s="46" t="s">
        <v>40</v>
      </c>
      <c r="BD94" s="136" t="s">
        <v>40</v>
      </c>
      <c r="BE94" s="61" t="s">
        <v>23</v>
      </c>
      <c r="BF94" s="61" t="s">
        <v>23</v>
      </c>
    </row>
    <row r="95" spans="2:58" ht="11.25">
      <c r="B95" s="118">
        <v>1</v>
      </c>
      <c r="C95" s="509">
        <f aca="true" t="shared" si="89" ref="C95:C110">B95*V95*$H95/1000</f>
        <v>0.21</v>
      </c>
      <c r="D95" s="54"/>
      <c r="E95" s="371" t="s">
        <v>223</v>
      </c>
      <c r="F95" s="421" t="s">
        <v>183</v>
      </c>
      <c r="G95" s="123" t="s">
        <v>73</v>
      </c>
      <c r="H95" s="287">
        <v>12</v>
      </c>
      <c r="I95" s="271"/>
      <c r="J95" s="22">
        <v>3.54</v>
      </c>
      <c r="K95" s="22">
        <v>9.87</v>
      </c>
      <c r="L95" s="25">
        <v>0.19</v>
      </c>
      <c r="M95" s="25"/>
      <c r="N95" s="25"/>
      <c r="O95" s="372" t="str">
        <f aca="true" t="shared" si="90" ref="O95:O110">IF(M95&lt;1.1*((N95*29000)/P95)^0.5,1,"NO")</f>
        <v>NO</v>
      </c>
      <c r="P95" s="4">
        <v>50</v>
      </c>
      <c r="Q95" s="6">
        <v>1.5</v>
      </c>
      <c r="R95" s="4">
        <v>4</v>
      </c>
      <c r="S95" s="140">
        <v>4</v>
      </c>
      <c r="T95" s="4">
        <v>115</v>
      </c>
      <c r="U95" s="141">
        <v>37.5</v>
      </c>
      <c r="V95" s="140">
        <v>17.5</v>
      </c>
      <c r="W95" s="142">
        <f aca="true" t="shared" si="91" ref="W95:W110">MIN((V95/4)*12,U95)</f>
        <v>37.5</v>
      </c>
      <c r="X95" s="440">
        <f aca="true" t="shared" si="92" ref="X95:X110">J95*P95</f>
        <v>177</v>
      </c>
      <c r="Y95" s="441">
        <f aca="true" t="shared" si="93" ref="Y95:Y110">(J95*P95)/(0.85*R95*W95)</f>
        <v>1.388235294117647</v>
      </c>
      <c r="Z95" s="442">
        <f aca="true" t="shared" si="94" ref="Z95:Z110">(0.9*((J95*P95*(K95/2))+(0.85*R95*Y95*W95*(S95-(Y95/2)))))/12</f>
        <v>109.39771323529409</v>
      </c>
      <c r="AA95" s="162">
        <f aca="true" t="shared" si="95" ref="AA95:AA110">IF(I95="v",0.9,1)</f>
        <v>1</v>
      </c>
      <c r="AB95" s="51">
        <f aca="true" t="shared" si="96" ref="AB95:AB110">IF(O95="NO",AA95*0.6*P95*K95*L95,AA95*0.6*P95*K95*L95*O95)</f>
        <v>56.25899999999999</v>
      </c>
      <c r="AC95" s="6">
        <v>17.2</v>
      </c>
      <c r="AD95" s="143">
        <f aca="true" t="shared" si="97" ref="AD95:AD110">(X95/AC95)*2</f>
        <v>20.58139534883721</v>
      </c>
      <c r="AE95" s="4">
        <v>30</v>
      </c>
      <c r="AF95" s="4">
        <v>1.6</v>
      </c>
      <c r="AG95" s="141">
        <v>29</v>
      </c>
      <c r="AH95" s="141">
        <v>520</v>
      </c>
      <c r="AI95" s="144">
        <f aca="true" t="shared" si="98" ref="AI95:AI110">((AE95+AG95+AF95)*(U95/12))+H95+AH95</f>
        <v>721.375</v>
      </c>
      <c r="AJ95" s="141">
        <v>115</v>
      </c>
      <c r="AK95" s="142">
        <f aca="true" t="shared" si="99" ref="AK95:AK110">IF(0.25+(15/($F$8*V95*(U95/12))^0.5)&gt;0.5,IF(0.25+(15/($F$8*V95*(U95/12))^0.5)&gt;1,1,0.25+(15/($F$8*V95*(U95/12))^0.5)),0.5)</f>
        <v>1</v>
      </c>
      <c r="AL95" s="143">
        <f aca="true" t="shared" si="100" ref="AL95:AL110">(AJ95*AK95)*(U95/12)</f>
        <v>359.375</v>
      </c>
      <c r="AM95" s="143">
        <f aca="true" t="shared" si="101" ref="AM95:AM110">(1.2*AI95)+(1.6*AL95)</f>
        <v>1440.65</v>
      </c>
      <c r="AN95" s="290">
        <f aca="true" t="shared" si="102" ref="AN95:AN110">1.4*AI95</f>
        <v>1009.925</v>
      </c>
      <c r="AO95" s="23">
        <f aca="true" t="shared" si="103" ref="AO95:AO110">MAX((AN95*V95*V95)/8000,(AM95*V95*V95)/8000)</f>
        <v>55.1498828125</v>
      </c>
      <c r="AP95" s="128">
        <f aca="true" t="shared" si="104" ref="AP95:AP110">MAX(AN95*V95/2000,AM95*V95/2000)</f>
        <v>12.6056875</v>
      </c>
      <c r="AQ95" s="443" t="str">
        <f aca="true" t="shared" si="105" ref="AQ95:AQ110">IF(AND(Z95&gt;AO95,AB95&gt;AP95),"OK","NG")</f>
        <v>OK</v>
      </c>
      <c r="AR95" s="444">
        <f aca="true" t="shared" si="106" ref="AR95:AR110">((AF95+AG95)*(U95/12))+H95</f>
        <v>107.625</v>
      </c>
      <c r="AS95" s="145">
        <f aca="true" t="shared" si="107" ref="AS95:AS110">AR95/12</f>
        <v>8.96875</v>
      </c>
      <c r="AT95" s="143">
        <f aca="true" t="shared" si="108" ref="AT95:AT110">AJ95*(U95/12)</f>
        <v>359.375</v>
      </c>
      <c r="AU95" s="143">
        <f aca="true" t="shared" si="109" ref="AU95:AU110">AT95/12</f>
        <v>29.947916666666668</v>
      </c>
      <c r="AV95" s="141">
        <v>53.8</v>
      </c>
      <c r="AW95" s="445">
        <f aca="true" t="shared" si="110" ref="AW95:AW110">(AR95*V95*V95)/8000</f>
        <v>4.12001953125</v>
      </c>
      <c r="AX95" s="446"/>
      <c r="AY95" s="447">
        <v>0</v>
      </c>
      <c r="AZ95" s="448">
        <f aca="true" t="shared" si="111" ref="AZ95:AZ110">S95-Y95/2</f>
        <v>3.3058823529411763</v>
      </c>
      <c r="BA95" s="7">
        <v>180</v>
      </c>
      <c r="BB95" s="449">
        <f aca="true" t="shared" si="112" ref="BB95:BB110">(5*(AS95)*((V95*12)^4))/(384*29000000*AV95)</f>
        <v>0.1455685659916397</v>
      </c>
      <c r="BC95" s="445">
        <f aca="true" t="shared" si="113" ref="BC95:BC110">(5*(AU95)*((V95*12)^4))/(384*29000000*BA95)</f>
        <v>0.14528208765490302</v>
      </c>
      <c r="BD95" s="102">
        <f aca="true" t="shared" si="114" ref="BD95:BD110">(V95/400)*12</f>
        <v>0.5249999999999999</v>
      </c>
      <c r="BE95" s="450" t="str">
        <f aca="true" t="shared" si="115" ref="BE95:BE110">IF(BB95&gt;BD95,"NG","OK")</f>
        <v>OK</v>
      </c>
      <c r="BF95" s="450" t="str">
        <f aca="true" t="shared" si="116" ref="BF95:BF110">IF(BC95&gt;BD95,"NG","OK")</f>
        <v>OK</v>
      </c>
    </row>
    <row r="96" spans="2:58" ht="11.25">
      <c r="B96" s="119">
        <v>1</v>
      </c>
      <c r="C96" s="508">
        <f t="shared" si="89"/>
        <v>0.21</v>
      </c>
      <c r="D96" s="54"/>
      <c r="E96" s="451" t="s">
        <v>174</v>
      </c>
      <c r="F96" s="79" t="s">
        <v>108</v>
      </c>
      <c r="G96" s="249" t="s">
        <v>73</v>
      </c>
      <c r="H96" s="258">
        <v>12</v>
      </c>
      <c r="I96" s="272"/>
      <c r="J96" s="29">
        <v>3.54</v>
      </c>
      <c r="K96" s="29">
        <v>9.87</v>
      </c>
      <c r="L96" s="32">
        <v>0.19</v>
      </c>
      <c r="M96" s="32"/>
      <c r="N96" s="32"/>
      <c r="O96" s="157" t="str">
        <f t="shared" si="90"/>
        <v>NO</v>
      </c>
      <c r="P96" s="34">
        <v>50</v>
      </c>
      <c r="Q96" s="33">
        <v>1.5</v>
      </c>
      <c r="R96" s="34">
        <v>4</v>
      </c>
      <c r="S96" s="29">
        <v>4</v>
      </c>
      <c r="T96" s="34">
        <v>115</v>
      </c>
      <c r="U96" s="31">
        <v>37.5</v>
      </c>
      <c r="V96" s="29">
        <v>17.5</v>
      </c>
      <c r="W96" s="30">
        <f t="shared" si="91"/>
        <v>37.5</v>
      </c>
      <c r="X96" s="146">
        <f t="shared" si="92"/>
        <v>177</v>
      </c>
      <c r="Y96" s="147">
        <f t="shared" si="93"/>
        <v>1.388235294117647</v>
      </c>
      <c r="Z96" s="294">
        <f t="shared" si="94"/>
        <v>109.39771323529409</v>
      </c>
      <c r="AA96" s="131">
        <f t="shared" si="95"/>
        <v>1</v>
      </c>
      <c r="AB96" s="128">
        <f t="shared" si="96"/>
        <v>56.25899999999999</v>
      </c>
      <c r="AC96" s="33">
        <v>17.2</v>
      </c>
      <c r="AD96" s="52">
        <f t="shared" si="97"/>
        <v>20.58139534883721</v>
      </c>
      <c r="AE96" s="34">
        <v>30</v>
      </c>
      <c r="AF96" s="34">
        <v>1.6</v>
      </c>
      <c r="AG96" s="31">
        <v>29</v>
      </c>
      <c r="AH96" s="31">
        <v>520</v>
      </c>
      <c r="AI96" s="112">
        <f t="shared" si="98"/>
        <v>721.375</v>
      </c>
      <c r="AJ96" s="31">
        <v>115</v>
      </c>
      <c r="AK96" s="30">
        <f t="shared" si="99"/>
        <v>1</v>
      </c>
      <c r="AL96" s="52">
        <f t="shared" si="100"/>
        <v>359.375</v>
      </c>
      <c r="AM96" s="52">
        <f t="shared" si="101"/>
        <v>1440.65</v>
      </c>
      <c r="AN96" s="85">
        <f t="shared" si="102"/>
        <v>1009.925</v>
      </c>
      <c r="AO96" s="30">
        <f t="shared" si="103"/>
        <v>55.1498828125</v>
      </c>
      <c r="AP96" s="128">
        <f t="shared" si="104"/>
        <v>12.6056875</v>
      </c>
      <c r="AQ96" s="293" t="str">
        <f t="shared" si="105"/>
        <v>OK</v>
      </c>
      <c r="AR96" s="120">
        <f t="shared" si="106"/>
        <v>107.625</v>
      </c>
      <c r="AS96" s="255">
        <f t="shared" si="107"/>
        <v>8.96875</v>
      </c>
      <c r="AT96" s="52">
        <f t="shared" si="108"/>
        <v>359.375</v>
      </c>
      <c r="AU96" s="52">
        <f t="shared" si="109"/>
        <v>29.947916666666668</v>
      </c>
      <c r="AV96" s="31">
        <v>53.8</v>
      </c>
      <c r="AW96" s="63">
        <f t="shared" si="110"/>
        <v>4.12001953125</v>
      </c>
      <c r="AX96" s="119"/>
      <c r="AY96" s="125">
        <v>0</v>
      </c>
      <c r="AZ96" s="256">
        <f t="shared" si="111"/>
        <v>3.3058823529411763</v>
      </c>
      <c r="BA96" s="67">
        <v>180</v>
      </c>
      <c r="BB96" s="257">
        <f t="shared" si="112"/>
        <v>0.1455685659916397</v>
      </c>
      <c r="BC96" s="63">
        <f t="shared" si="113"/>
        <v>0.14528208765490302</v>
      </c>
      <c r="BD96" s="130">
        <f t="shared" si="114"/>
        <v>0.5249999999999999</v>
      </c>
      <c r="BE96" s="91" t="str">
        <f t="shared" si="115"/>
        <v>OK</v>
      </c>
      <c r="BF96" s="91" t="str">
        <f t="shared" si="116"/>
        <v>OK</v>
      </c>
    </row>
    <row r="97" spans="2:58" ht="11.25">
      <c r="B97" s="119">
        <v>1</v>
      </c>
      <c r="C97" s="508">
        <f t="shared" si="89"/>
        <v>0.21</v>
      </c>
      <c r="D97" s="54"/>
      <c r="E97" s="357" t="s">
        <v>224</v>
      </c>
      <c r="F97" s="79" t="s">
        <v>162</v>
      </c>
      <c r="G97" s="249" t="s">
        <v>73</v>
      </c>
      <c r="H97" s="258">
        <v>12</v>
      </c>
      <c r="I97" s="272"/>
      <c r="J97" s="29">
        <v>3.54</v>
      </c>
      <c r="K97" s="29">
        <v>9.87</v>
      </c>
      <c r="L97" s="32">
        <v>0.19</v>
      </c>
      <c r="M97" s="32"/>
      <c r="N97" s="32"/>
      <c r="O97" s="157" t="str">
        <f t="shared" si="90"/>
        <v>NO</v>
      </c>
      <c r="P97" s="34">
        <v>50</v>
      </c>
      <c r="Q97" s="33">
        <v>1.5</v>
      </c>
      <c r="R97" s="34">
        <v>4</v>
      </c>
      <c r="S97" s="29">
        <v>4</v>
      </c>
      <c r="T97" s="34">
        <v>115</v>
      </c>
      <c r="U97" s="31">
        <v>37.5</v>
      </c>
      <c r="V97" s="29">
        <v>17.5</v>
      </c>
      <c r="W97" s="30">
        <f t="shared" si="91"/>
        <v>37.5</v>
      </c>
      <c r="X97" s="146">
        <f t="shared" si="92"/>
        <v>177</v>
      </c>
      <c r="Y97" s="147">
        <f t="shared" si="93"/>
        <v>1.388235294117647</v>
      </c>
      <c r="Z97" s="294">
        <f t="shared" si="94"/>
        <v>109.39771323529409</v>
      </c>
      <c r="AA97" s="131">
        <f t="shared" si="95"/>
        <v>1</v>
      </c>
      <c r="AB97" s="128">
        <f t="shared" si="96"/>
        <v>56.25899999999999</v>
      </c>
      <c r="AC97" s="33">
        <v>17.2</v>
      </c>
      <c r="AD97" s="52">
        <f t="shared" si="97"/>
        <v>20.58139534883721</v>
      </c>
      <c r="AE97" s="34">
        <v>30</v>
      </c>
      <c r="AF97" s="34">
        <v>1.6</v>
      </c>
      <c r="AG97" s="31">
        <v>29</v>
      </c>
      <c r="AH97" s="31">
        <v>520</v>
      </c>
      <c r="AI97" s="112">
        <f t="shared" si="98"/>
        <v>721.375</v>
      </c>
      <c r="AJ97" s="31">
        <v>115</v>
      </c>
      <c r="AK97" s="30">
        <f t="shared" si="99"/>
        <v>1</v>
      </c>
      <c r="AL97" s="52">
        <f t="shared" si="100"/>
        <v>359.375</v>
      </c>
      <c r="AM97" s="52">
        <f t="shared" si="101"/>
        <v>1440.65</v>
      </c>
      <c r="AN97" s="85">
        <f t="shared" si="102"/>
        <v>1009.925</v>
      </c>
      <c r="AO97" s="30">
        <f t="shared" si="103"/>
        <v>55.1498828125</v>
      </c>
      <c r="AP97" s="128">
        <f t="shared" si="104"/>
        <v>12.6056875</v>
      </c>
      <c r="AQ97" s="293" t="str">
        <f t="shared" si="105"/>
        <v>OK</v>
      </c>
      <c r="AR97" s="120">
        <f t="shared" si="106"/>
        <v>107.625</v>
      </c>
      <c r="AS97" s="255">
        <f t="shared" si="107"/>
        <v>8.96875</v>
      </c>
      <c r="AT97" s="52">
        <f t="shared" si="108"/>
        <v>359.375</v>
      </c>
      <c r="AU97" s="52">
        <f t="shared" si="109"/>
        <v>29.947916666666668</v>
      </c>
      <c r="AV97" s="31">
        <v>53.8</v>
      </c>
      <c r="AW97" s="63">
        <f t="shared" si="110"/>
        <v>4.12001953125</v>
      </c>
      <c r="AX97" s="119"/>
      <c r="AY97" s="125">
        <v>0</v>
      </c>
      <c r="AZ97" s="256">
        <f t="shared" si="111"/>
        <v>3.3058823529411763</v>
      </c>
      <c r="BA97" s="67">
        <v>180</v>
      </c>
      <c r="BB97" s="257">
        <f t="shared" si="112"/>
        <v>0.1455685659916397</v>
      </c>
      <c r="BC97" s="63">
        <f t="shared" si="113"/>
        <v>0.14528208765490302</v>
      </c>
      <c r="BD97" s="130">
        <f t="shared" si="114"/>
        <v>0.5249999999999999</v>
      </c>
      <c r="BE97" s="91" t="str">
        <f t="shared" si="115"/>
        <v>OK</v>
      </c>
      <c r="BF97" s="91" t="str">
        <f t="shared" si="116"/>
        <v>OK</v>
      </c>
    </row>
    <row r="98" spans="2:58" ht="12" thickBot="1">
      <c r="B98" s="165">
        <v>1</v>
      </c>
      <c r="C98" s="506">
        <f t="shared" si="89"/>
        <v>0.21</v>
      </c>
      <c r="D98" s="54"/>
      <c r="E98" s="355" t="s">
        <v>178</v>
      </c>
      <c r="F98" s="438" t="s">
        <v>225</v>
      </c>
      <c r="G98" s="152" t="s">
        <v>73</v>
      </c>
      <c r="H98" s="434">
        <v>12</v>
      </c>
      <c r="I98" s="274"/>
      <c r="J98" s="74">
        <v>3.54</v>
      </c>
      <c r="K98" s="74">
        <v>9.87</v>
      </c>
      <c r="L98" s="452">
        <v>0.19</v>
      </c>
      <c r="M98" s="452"/>
      <c r="N98" s="452"/>
      <c r="O98" s="392" t="str">
        <f t="shared" si="90"/>
        <v>NO</v>
      </c>
      <c r="P98" s="297">
        <v>50</v>
      </c>
      <c r="Q98" s="64">
        <v>1.5</v>
      </c>
      <c r="R98" s="297">
        <v>4</v>
      </c>
      <c r="S98" s="80">
        <v>4</v>
      </c>
      <c r="T98" s="297">
        <v>115</v>
      </c>
      <c r="U98" s="81">
        <v>37.5</v>
      </c>
      <c r="V98" s="80">
        <v>17.5</v>
      </c>
      <c r="W98" s="82">
        <f t="shared" si="91"/>
        <v>37.5</v>
      </c>
      <c r="X98" s="83">
        <f t="shared" si="92"/>
        <v>177</v>
      </c>
      <c r="Y98" s="84">
        <f t="shared" si="93"/>
        <v>1.388235294117647</v>
      </c>
      <c r="Z98" s="303">
        <f t="shared" si="94"/>
        <v>109.39771323529409</v>
      </c>
      <c r="AA98" s="132">
        <f t="shared" si="95"/>
        <v>1</v>
      </c>
      <c r="AB98" s="453">
        <f t="shared" si="96"/>
        <v>56.25899999999999</v>
      </c>
      <c r="AC98" s="64">
        <v>17.2</v>
      </c>
      <c r="AD98" s="85">
        <f t="shared" si="97"/>
        <v>20.58139534883721</v>
      </c>
      <c r="AE98" s="297">
        <v>30</v>
      </c>
      <c r="AF98" s="297">
        <v>1.6</v>
      </c>
      <c r="AG98" s="81">
        <v>29</v>
      </c>
      <c r="AH98" s="35">
        <v>520</v>
      </c>
      <c r="AI98" s="454">
        <f t="shared" si="98"/>
        <v>721.375</v>
      </c>
      <c r="AJ98" s="81">
        <v>115</v>
      </c>
      <c r="AK98" s="82">
        <f t="shared" si="99"/>
        <v>1</v>
      </c>
      <c r="AL98" s="85">
        <f t="shared" si="100"/>
        <v>359.375</v>
      </c>
      <c r="AM98" s="85">
        <f t="shared" si="101"/>
        <v>1440.65</v>
      </c>
      <c r="AN98" s="252">
        <f t="shared" si="102"/>
        <v>1009.925</v>
      </c>
      <c r="AO98" s="124">
        <f t="shared" si="103"/>
        <v>55.1498828125</v>
      </c>
      <c r="AP98" s="129">
        <f t="shared" si="104"/>
        <v>12.6056875</v>
      </c>
      <c r="AQ98" s="299" t="str">
        <f t="shared" si="105"/>
        <v>OK</v>
      </c>
      <c r="AR98" s="114">
        <f t="shared" si="106"/>
        <v>107.625</v>
      </c>
      <c r="AS98" s="298">
        <f t="shared" si="107"/>
        <v>8.96875</v>
      </c>
      <c r="AT98" s="85">
        <f t="shared" si="108"/>
        <v>359.375</v>
      </c>
      <c r="AU98" s="85">
        <f t="shared" si="109"/>
        <v>29.947916666666668</v>
      </c>
      <c r="AV98" s="81">
        <v>53.8</v>
      </c>
      <c r="AW98" s="88">
        <f t="shared" si="110"/>
        <v>4.12001953125</v>
      </c>
      <c r="AX98" s="254"/>
      <c r="AY98" s="300">
        <v>0</v>
      </c>
      <c r="AZ98" s="301">
        <f t="shared" si="111"/>
        <v>3.3058823529411763</v>
      </c>
      <c r="BA98" s="87">
        <v>180</v>
      </c>
      <c r="BB98" s="302">
        <f t="shared" si="112"/>
        <v>0.1455685659916397</v>
      </c>
      <c r="BC98" s="88">
        <f t="shared" si="113"/>
        <v>0.14528208765490302</v>
      </c>
      <c r="BD98" s="363">
        <f t="shared" si="114"/>
        <v>0.5249999999999999</v>
      </c>
      <c r="BE98" s="89" t="str">
        <f t="shared" si="115"/>
        <v>OK</v>
      </c>
      <c r="BF98" s="89" t="str">
        <f t="shared" si="116"/>
        <v>OK</v>
      </c>
    </row>
    <row r="99" spans="2:58" ht="11.25">
      <c r="B99" s="254">
        <v>1</v>
      </c>
      <c r="C99" s="505">
        <f t="shared" si="89"/>
        <v>0.385</v>
      </c>
      <c r="D99" s="54"/>
      <c r="E99" s="371" t="s">
        <v>183</v>
      </c>
      <c r="F99" s="421" t="s">
        <v>226</v>
      </c>
      <c r="G99" s="123" t="s">
        <v>219</v>
      </c>
      <c r="H99" s="287">
        <v>14</v>
      </c>
      <c r="I99" s="287" t="s">
        <v>89</v>
      </c>
      <c r="J99" s="22">
        <v>4.16</v>
      </c>
      <c r="K99" s="22">
        <v>11.9</v>
      </c>
      <c r="L99" s="25">
        <v>0.2</v>
      </c>
      <c r="M99" s="22">
        <v>54.3</v>
      </c>
      <c r="N99" s="154">
        <f>IF(M99&lt;260,5,"NO")</f>
        <v>5</v>
      </c>
      <c r="O99" s="372">
        <f t="shared" si="90"/>
        <v>1</v>
      </c>
      <c r="P99" s="4">
        <v>50</v>
      </c>
      <c r="Q99" s="6">
        <v>1.5</v>
      </c>
      <c r="R99" s="4">
        <v>4</v>
      </c>
      <c r="S99" s="140">
        <v>4</v>
      </c>
      <c r="T99" s="4">
        <v>115</v>
      </c>
      <c r="U99" s="141">
        <v>37.5</v>
      </c>
      <c r="V99" s="140">
        <v>27.5</v>
      </c>
      <c r="W99" s="142">
        <f t="shared" si="91"/>
        <v>37.5</v>
      </c>
      <c r="X99" s="440">
        <f t="shared" si="92"/>
        <v>208</v>
      </c>
      <c r="Y99" s="441">
        <f t="shared" si="93"/>
        <v>1.6313725490196078</v>
      </c>
      <c r="Z99" s="442">
        <f t="shared" si="94"/>
        <v>142.49529411764706</v>
      </c>
      <c r="AA99" s="162">
        <f t="shared" si="95"/>
        <v>0.9</v>
      </c>
      <c r="AB99" s="51">
        <f t="shared" si="96"/>
        <v>64.26</v>
      </c>
      <c r="AC99" s="6">
        <v>17.2</v>
      </c>
      <c r="AD99" s="143">
        <f t="shared" si="97"/>
        <v>24.186046511627907</v>
      </c>
      <c r="AE99" s="4">
        <v>30</v>
      </c>
      <c r="AF99" s="4">
        <v>1.6</v>
      </c>
      <c r="AG99" s="141">
        <v>29</v>
      </c>
      <c r="AH99" s="141">
        <v>520</v>
      </c>
      <c r="AI99" s="144">
        <f t="shared" si="98"/>
        <v>723.375</v>
      </c>
      <c r="AJ99" s="141">
        <v>115</v>
      </c>
      <c r="AK99" s="142">
        <f t="shared" si="99"/>
        <v>1</v>
      </c>
      <c r="AL99" s="143">
        <f t="shared" si="100"/>
        <v>359.375</v>
      </c>
      <c r="AM99" s="143">
        <f t="shared" si="101"/>
        <v>1443.05</v>
      </c>
      <c r="AN99" s="290">
        <f t="shared" si="102"/>
        <v>1012.7249999999999</v>
      </c>
      <c r="AO99" s="23">
        <f t="shared" si="103"/>
        <v>136.4133203125</v>
      </c>
      <c r="AP99" s="86">
        <f t="shared" si="104"/>
        <v>19.8419375</v>
      </c>
      <c r="AQ99" s="443" t="str">
        <f t="shared" si="105"/>
        <v>OK</v>
      </c>
      <c r="AR99" s="444">
        <f t="shared" si="106"/>
        <v>109.625</v>
      </c>
      <c r="AS99" s="145">
        <f t="shared" si="107"/>
        <v>9.135416666666666</v>
      </c>
      <c r="AT99" s="143">
        <f t="shared" si="108"/>
        <v>359.375</v>
      </c>
      <c r="AU99" s="143">
        <f t="shared" si="109"/>
        <v>29.947916666666668</v>
      </c>
      <c r="AV99" s="141">
        <v>88.6</v>
      </c>
      <c r="AW99" s="445">
        <f t="shared" si="110"/>
        <v>10.36298828125</v>
      </c>
      <c r="AX99" s="446"/>
      <c r="AY99" s="447">
        <v>0</v>
      </c>
      <c r="AZ99" s="448">
        <f t="shared" si="111"/>
        <v>3.1843137254901963</v>
      </c>
      <c r="BA99" s="7">
        <v>262</v>
      </c>
      <c r="BB99" s="449">
        <f t="shared" si="112"/>
        <v>0.5490238109228444</v>
      </c>
      <c r="BC99" s="445">
        <f t="shared" si="113"/>
        <v>0.6086419274474986</v>
      </c>
      <c r="BD99" s="102">
        <f t="shared" si="114"/>
        <v>0.8250000000000001</v>
      </c>
      <c r="BE99" s="450" t="str">
        <f t="shared" si="115"/>
        <v>OK</v>
      </c>
      <c r="BF99" s="450" t="str">
        <f t="shared" si="116"/>
        <v>OK</v>
      </c>
    </row>
    <row r="100" spans="2:58" ht="11.25">
      <c r="B100" s="119">
        <v>1</v>
      </c>
      <c r="C100" s="508">
        <f t="shared" si="89"/>
        <v>0.385</v>
      </c>
      <c r="D100" s="54"/>
      <c r="E100" s="451" t="s">
        <v>227</v>
      </c>
      <c r="F100" s="79" t="s">
        <v>174</v>
      </c>
      <c r="G100" s="249" t="s">
        <v>219</v>
      </c>
      <c r="H100" s="258">
        <v>14</v>
      </c>
      <c r="I100" s="258" t="s">
        <v>89</v>
      </c>
      <c r="J100" s="29">
        <v>4.16</v>
      </c>
      <c r="K100" s="29">
        <v>11.9</v>
      </c>
      <c r="L100" s="32">
        <v>0.2</v>
      </c>
      <c r="M100" s="29">
        <v>54.3</v>
      </c>
      <c r="N100" s="155">
        <f>IF(M100&lt;260,5,"NO")</f>
        <v>5</v>
      </c>
      <c r="O100" s="157">
        <f t="shared" si="90"/>
        <v>1</v>
      </c>
      <c r="P100" s="34">
        <v>50</v>
      </c>
      <c r="Q100" s="33">
        <v>1.5</v>
      </c>
      <c r="R100" s="34">
        <v>4</v>
      </c>
      <c r="S100" s="29">
        <v>4</v>
      </c>
      <c r="T100" s="34">
        <v>115</v>
      </c>
      <c r="U100" s="31">
        <v>37.5</v>
      </c>
      <c r="V100" s="29">
        <v>27.5</v>
      </c>
      <c r="W100" s="30">
        <f t="shared" si="91"/>
        <v>37.5</v>
      </c>
      <c r="X100" s="146">
        <f t="shared" si="92"/>
        <v>208</v>
      </c>
      <c r="Y100" s="147">
        <f t="shared" si="93"/>
        <v>1.6313725490196078</v>
      </c>
      <c r="Z100" s="294">
        <f t="shared" si="94"/>
        <v>142.49529411764706</v>
      </c>
      <c r="AA100" s="131">
        <f t="shared" si="95"/>
        <v>0.9</v>
      </c>
      <c r="AB100" s="128">
        <f t="shared" si="96"/>
        <v>64.26</v>
      </c>
      <c r="AC100" s="33">
        <v>17.2</v>
      </c>
      <c r="AD100" s="52">
        <f t="shared" si="97"/>
        <v>24.186046511627907</v>
      </c>
      <c r="AE100" s="34">
        <v>30</v>
      </c>
      <c r="AF100" s="34">
        <v>1.6</v>
      </c>
      <c r="AG100" s="31">
        <v>29</v>
      </c>
      <c r="AH100" s="31">
        <v>520</v>
      </c>
      <c r="AI100" s="112">
        <f t="shared" si="98"/>
        <v>723.375</v>
      </c>
      <c r="AJ100" s="31">
        <v>115</v>
      </c>
      <c r="AK100" s="30">
        <f t="shared" si="99"/>
        <v>1</v>
      </c>
      <c r="AL100" s="52">
        <f t="shared" si="100"/>
        <v>359.375</v>
      </c>
      <c r="AM100" s="52">
        <f t="shared" si="101"/>
        <v>1443.05</v>
      </c>
      <c r="AN100" s="85">
        <f t="shared" si="102"/>
        <v>1012.7249999999999</v>
      </c>
      <c r="AO100" s="30">
        <f t="shared" si="103"/>
        <v>136.4133203125</v>
      </c>
      <c r="AP100" s="128">
        <f t="shared" si="104"/>
        <v>19.8419375</v>
      </c>
      <c r="AQ100" s="293" t="str">
        <f t="shared" si="105"/>
        <v>OK</v>
      </c>
      <c r="AR100" s="120">
        <f t="shared" si="106"/>
        <v>109.625</v>
      </c>
      <c r="AS100" s="255">
        <f>AR100/12</f>
        <v>9.135416666666666</v>
      </c>
      <c r="AT100" s="52">
        <f t="shared" si="108"/>
        <v>359.375</v>
      </c>
      <c r="AU100" s="52">
        <f>AT100/12</f>
        <v>29.947916666666668</v>
      </c>
      <c r="AV100" s="31">
        <v>88.6</v>
      </c>
      <c r="AW100" s="63">
        <f t="shared" si="110"/>
        <v>10.36298828125</v>
      </c>
      <c r="AX100" s="119"/>
      <c r="AY100" s="125">
        <v>0</v>
      </c>
      <c r="AZ100" s="256">
        <f t="shared" si="111"/>
        <v>3.1843137254901963</v>
      </c>
      <c r="BA100" s="67">
        <v>262</v>
      </c>
      <c r="BB100" s="257">
        <f t="shared" si="112"/>
        <v>0.5490238109228444</v>
      </c>
      <c r="BC100" s="63">
        <f t="shared" si="113"/>
        <v>0.6086419274474986</v>
      </c>
      <c r="BD100" s="130">
        <f t="shared" si="114"/>
        <v>0.8250000000000001</v>
      </c>
      <c r="BE100" s="91" t="str">
        <f t="shared" si="115"/>
        <v>OK</v>
      </c>
      <c r="BF100" s="91" t="str">
        <f t="shared" si="116"/>
        <v>OK</v>
      </c>
    </row>
    <row r="101" spans="2:58" ht="11.25">
      <c r="B101" s="119">
        <v>1</v>
      </c>
      <c r="C101" s="508">
        <f t="shared" si="89"/>
        <v>0.385</v>
      </c>
      <c r="D101" s="54"/>
      <c r="E101" s="451" t="s">
        <v>162</v>
      </c>
      <c r="F101" s="79" t="s">
        <v>240</v>
      </c>
      <c r="G101" s="458" t="s">
        <v>219</v>
      </c>
      <c r="H101" s="295">
        <v>14</v>
      </c>
      <c r="I101" s="295" t="s">
        <v>89</v>
      </c>
      <c r="J101" s="80">
        <v>4.16</v>
      </c>
      <c r="K101" s="80">
        <v>11.9</v>
      </c>
      <c r="L101" s="296">
        <v>0.2</v>
      </c>
      <c r="M101" s="80">
        <v>54.3</v>
      </c>
      <c r="N101" s="391">
        <f>IF(M101&lt;260,5,"NO")</f>
        <v>5</v>
      </c>
      <c r="O101" s="157">
        <f t="shared" si="90"/>
        <v>1</v>
      </c>
      <c r="P101" s="34">
        <v>50</v>
      </c>
      <c r="Q101" s="33">
        <v>1.5</v>
      </c>
      <c r="R101" s="34">
        <v>4</v>
      </c>
      <c r="S101" s="29">
        <v>4</v>
      </c>
      <c r="T101" s="34">
        <v>115</v>
      </c>
      <c r="U101" s="31">
        <v>37.5</v>
      </c>
      <c r="V101" s="29">
        <v>27.5</v>
      </c>
      <c r="W101" s="30">
        <f t="shared" si="91"/>
        <v>37.5</v>
      </c>
      <c r="X101" s="146">
        <f t="shared" si="92"/>
        <v>208</v>
      </c>
      <c r="Y101" s="147">
        <f t="shared" si="93"/>
        <v>1.6313725490196078</v>
      </c>
      <c r="Z101" s="294">
        <f t="shared" si="94"/>
        <v>142.49529411764706</v>
      </c>
      <c r="AA101" s="131">
        <f t="shared" si="95"/>
        <v>0.9</v>
      </c>
      <c r="AB101" s="128">
        <f t="shared" si="96"/>
        <v>64.26</v>
      </c>
      <c r="AC101" s="33">
        <v>17.2</v>
      </c>
      <c r="AD101" s="52">
        <f t="shared" si="97"/>
        <v>24.186046511627907</v>
      </c>
      <c r="AE101" s="34">
        <v>30</v>
      </c>
      <c r="AF101" s="34">
        <v>1.6</v>
      </c>
      <c r="AG101" s="31">
        <v>29</v>
      </c>
      <c r="AH101" s="31">
        <v>520</v>
      </c>
      <c r="AI101" s="112">
        <f t="shared" si="98"/>
        <v>723.375</v>
      </c>
      <c r="AJ101" s="31">
        <v>115</v>
      </c>
      <c r="AK101" s="30">
        <f t="shared" si="99"/>
        <v>1</v>
      </c>
      <c r="AL101" s="52">
        <f t="shared" si="100"/>
        <v>359.375</v>
      </c>
      <c r="AM101" s="52">
        <f t="shared" si="101"/>
        <v>1443.05</v>
      </c>
      <c r="AN101" s="85">
        <f t="shared" si="102"/>
        <v>1012.7249999999999</v>
      </c>
      <c r="AO101" s="30">
        <f t="shared" si="103"/>
        <v>136.4133203125</v>
      </c>
      <c r="AP101" s="128">
        <f t="shared" si="104"/>
        <v>19.8419375</v>
      </c>
      <c r="AQ101" s="293" t="str">
        <f t="shared" si="105"/>
        <v>OK</v>
      </c>
      <c r="AR101" s="120">
        <f t="shared" si="106"/>
        <v>109.625</v>
      </c>
      <c r="AS101" s="255">
        <f>AR101/12</f>
        <v>9.135416666666666</v>
      </c>
      <c r="AT101" s="52">
        <f t="shared" si="108"/>
        <v>359.375</v>
      </c>
      <c r="AU101" s="52">
        <f>AT101/12</f>
        <v>29.947916666666668</v>
      </c>
      <c r="AV101" s="31">
        <v>88.6</v>
      </c>
      <c r="AW101" s="63">
        <f t="shared" si="110"/>
        <v>10.36298828125</v>
      </c>
      <c r="AX101" s="119"/>
      <c r="AY101" s="125">
        <v>0</v>
      </c>
      <c r="AZ101" s="256">
        <f t="shared" si="111"/>
        <v>3.1843137254901963</v>
      </c>
      <c r="BA101" s="67">
        <v>262</v>
      </c>
      <c r="BB101" s="257">
        <f t="shared" si="112"/>
        <v>0.5490238109228444</v>
      </c>
      <c r="BC101" s="63">
        <f t="shared" si="113"/>
        <v>0.6086419274474986</v>
      </c>
      <c r="BD101" s="130">
        <f t="shared" si="114"/>
        <v>0.8250000000000001</v>
      </c>
      <c r="BE101" s="91" t="str">
        <f t="shared" si="115"/>
        <v>OK</v>
      </c>
      <c r="BF101" s="91" t="str">
        <f t="shared" si="116"/>
        <v>OK</v>
      </c>
    </row>
    <row r="102" spans="2:58" ht="12" thickBot="1">
      <c r="B102" s="165">
        <v>1</v>
      </c>
      <c r="C102" s="506">
        <f t="shared" si="89"/>
        <v>0.385</v>
      </c>
      <c r="D102" s="54"/>
      <c r="E102" s="451" t="s">
        <v>241</v>
      </c>
      <c r="F102" s="79" t="s">
        <v>178</v>
      </c>
      <c r="G102" s="115" t="s">
        <v>219</v>
      </c>
      <c r="H102" s="258">
        <v>14</v>
      </c>
      <c r="I102" s="258" t="s">
        <v>89</v>
      </c>
      <c r="J102" s="29">
        <v>4.16</v>
      </c>
      <c r="K102" s="29">
        <v>11.9</v>
      </c>
      <c r="L102" s="32">
        <v>0.2</v>
      </c>
      <c r="M102" s="29">
        <v>54.3</v>
      </c>
      <c r="N102" s="155">
        <f>IF(M102&lt;260,5,"NO")</f>
        <v>5</v>
      </c>
      <c r="O102" s="157">
        <f t="shared" si="90"/>
        <v>1</v>
      </c>
      <c r="P102" s="34">
        <v>50</v>
      </c>
      <c r="Q102" s="33">
        <v>1.5</v>
      </c>
      <c r="R102" s="34">
        <v>4</v>
      </c>
      <c r="S102" s="29">
        <v>4</v>
      </c>
      <c r="T102" s="34">
        <v>115</v>
      </c>
      <c r="U102" s="31">
        <v>37.5</v>
      </c>
      <c r="V102" s="29">
        <v>27.5</v>
      </c>
      <c r="W102" s="30">
        <f t="shared" si="91"/>
        <v>37.5</v>
      </c>
      <c r="X102" s="146">
        <f t="shared" si="92"/>
        <v>208</v>
      </c>
      <c r="Y102" s="147">
        <f t="shared" si="93"/>
        <v>1.6313725490196078</v>
      </c>
      <c r="Z102" s="294">
        <f t="shared" si="94"/>
        <v>142.49529411764706</v>
      </c>
      <c r="AA102" s="131">
        <f t="shared" si="95"/>
        <v>0.9</v>
      </c>
      <c r="AB102" s="128">
        <f t="shared" si="96"/>
        <v>64.26</v>
      </c>
      <c r="AC102" s="33">
        <v>17.2</v>
      </c>
      <c r="AD102" s="52">
        <f t="shared" si="97"/>
        <v>24.186046511627907</v>
      </c>
      <c r="AE102" s="34">
        <v>30</v>
      </c>
      <c r="AF102" s="34">
        <v>1.6</v>
      </c>
      <c r="AG102" s="31">
        <v>29</v>
      </c>
      <c r="AH102" s="31">
        <v>520</v>
      </c>
      <c r="AI102" s="112">
        <f t="shared" si="98"/>
        <v>723.375</v>
      </c>
      <c r="AJ102" s="31">
        <v>115</v>
      </c>
      <c r="AK102" s="30">
        <f t="shared" si="99"/>
        <v>1</v>
      </c>
      <c r="AL102" s="52">
        <f t="shared" si="100"/>
        <v>359.375</v>
      </c>
      <c r="AM102" s="52">
        <f t="shared" si="101"/>
        <v>1443.05</v>
      </c>
      <c r="AN102" s="85">
        <f t="shared" si="102"/>
        <v>1012.7249999999999</v>
      </c>
      <c r="AO102" s="30">
        <f t="shared" si="103"/>
        <v>136.4133203125</v>
      </c>
      <c r="AP102" s="129">
        <f t="shared" si="104"/>
        <v>19.8419375</v>
      </c>
      <c r="AQ102" s="293" t="str">
        <f t="shared" si="105"/>
        <v>OK</v>
      </c>
      <c r="AR102" s="120">
        <f t="shared" si="106"/>
        <v>109.625</v>
      </c>
      <c r="AS102" s="255">
        <f>AR102/12</f>
        <v>9.135416666666666</v>
      </c>
      <c r="AT102" s="52">
        <f t="shared" si="108"/>
        <v>359.375</v>
      </c>
      <c r="AU102" s="52">
        <f>AT102/12</f>
        <v>29.947916666666668</v>
      </c>
      <c r="AV102" s="31">
        <v>88.6</v>
      </c>
      <c r="AW102" s="63">
        <f t="shared" si="110"/>
        <v>10.36298828125</v>
      </c>
      <c r="AX102" s="119"/>
      <c r="AY102" s="125">
        <v>0</v>
      </c>
      <c r="AZ102" s="256">
        <f t="shared" si="111"/>
        <v>3.1843137254901963</v>
      </c>
      <c r="BA102" s="67">
        <v>262</v>
      </c>
      <c r="BB102" s="257">
        <f t="shared" si="112"/>
        <v>0.5490238109228444</v>
      </c>
      <c r="BC102" s="63">
        <f t="shared" si="113"/>
        <v>0.6086419274474986</v>
      </c>
      <c r="BD102" s="130">
        <f t="shared" si="114"/>
        <v>0.8250000000000001</v>
      </c>
      <c r="BE102" s="91" t="str">
        <f t="shared" si="115"/>
        <v>OK</v>
      </c>
      <c r="BF102" s="91" t="str">
        <f t="shared" si="116"/>
        <v>OK</v>
      </c>
    </row>
    <row r="103" spans="2:58" ht="11.25">
      <c r="B103" s="254">
        <v>1</v>
      </c>
      <c r="C103" s="505">
        <f t="shared" si="89"/>
        <v>0.55</v>
      </c>
      <c r="D103" s="54"/>
      <c r="E103" s="371" t="s">
        <v>223</v>
      </c>
      <c r="F103" s="421" t="s">
        <v>230</v>
      </c>
      <c r="G103" s="123" t="s">
        <v>242</v>
      </c>
      <c r="H103" s="287">
        <v>22</v>
      </c>
      <c r="I103" s="271"/>
      <c r="J103" s="22">
        <v>6.49</v>
      </c>
      <c r="K103" s="22">
        <v>13.7</v>
      </c>
      <c r="L103" s="25">
        <v>0.23</v>
      </c>
      <c r="M103" s="140"/>
      <c r="N103" s="457"/>
      <c r="O103" s="372" t="str">
        <f t="shared" si="90"/>
        <v>NO</v>
      </c>
      <c r="P103" s="4">
        <v>50</v>
      </c>
      <c r="Q103" s="6">
        <v>1.5</v>
      </c>
      <c r="R103" s="4">
        <v>4</v>
      </c>
      <c r="S103" s="140">
        <v>4</v>
      </c>
      <c r="T103" s="4">
        <v>115</v>
      </c>
      <c r="U103" s="141">
        <v>105</v>
      </c>
      <c r="V103" s="140">
        <v>25</v>
      </c>
      <c r="W103" s="142">
        <f t="shared" si="91"/>
        <v>75</v>
      </c>
      <c r="X103" s="440">
        <f t="shared" si="92"/>
        <v>324.5</v>
      </c>
      <c r="Y103" s="441">
        <f t="shared" si="93"/>
        <v>1.272549019607843</v>
      </c>
      <c r="Z103" s="442">
        <f t="shared" si="94"/>
        <v>248.57654411764702</v>
      </c>
      <c r="AA103" s="162">
        <f t="shared" si="95"/>
        <v>1</v>
      </c>
      <c r="AB103" s="51">
        <f t="shared" si="96"/>
        <v>94.53</v>
      </c>
      <c r="AC103" s="6">
        <v>17.2</v>
      </c>
      <c r="AD103" s="143">
        <f t="shared" si="97"/>
        <v>37.73255813953489</v>
      </c>
      <c r="AE103" s="4">
        <v>30</v>
      </c>
      <c r="AF103" s="4">
        <v>1.6</v>
      </c>
      <c r="AG103" s="141">
        <v>29</v>
      </c>
      <c r="AH103" s="141">
        <v>520</v>
      </c>
      <c r="AI103" s="144">
        <f t="shared" si="98"/>
        <v>1072.25</v>
      </c>
      <c r="AJ103" s="141">
        <v>115</v>
      </c>
      <c r="AK103" s="142">
        <f t="shared" si="99"/>
        <v>0.9671371656006361</v>
      </c>
      <c r="AL103" s="143">
        <f t="shared" si="100"/>
        <v>973.18177288564</v>
      </c>
      <c r="AM103" s="143">
        <f t="shared" si="101"/>
        <v>2843.790836617024</v>
      </c>
      <c r="AN103" s="290">
        <f t="shared" si="102"/>
        <v>1501.1499999999999</v>
      </c>
      <c r="AO103" s="23">
        <f t="shared" si="103"/>
        <v>222.171159110705</v>
      </c>
      <c r="AP103" s="86">
        <f t="shared" si="104"/>
        <v>35.5473854577128</v>
      </c>
      <c r="AQ103" s="443" t="str">
        <f t="shared" si="105"/>
        <v>OK</v>
      </c>
      <c r="AR103" s="444">
        <f t="shared" si="106"/>
        <v>289.75</v>
      </c>
      <c r="AS103" s="145">
        <f t="shared" si="107"/>
        <v>24.145833333333332</v>
      </c>
      <c r="AT103" s="143">
        <f t="shared" si="108"/>
        <v>1006.25</v>
      </c>
      <c r="AU103" s="143">
        <f t="shared" si="109"/>
        <v>83.85416666666667</v>
      </c>
      <c r="AV103" s="141">
        <v>199</v>
      </c>
      <c r="AW103" s="445">
        <f t="shared" si="110"/>
        <v>22.63671875</v>
      </c>
      <c r="AX103" s="446"/>
      <c r="AY103" s="447">
        <v>0</v>
      </c>
      <c r="AZ103" s="448">
        <f t="shared" si="111"/>
        <v>3.3637254901960785</v>
      </c>
      <c r="BA103" s="7">
        <v>535</v>
      </c>
      <c r="BB103" s="449">
        <f t="shared" si="112"/>
        <v>0.4412806895468722</v>
      </c>
      <c r="BC103" s="445">
        <f t="shared" si="113"/>
        <v>0.5700286265307768</v>
      </c>
      <c r="BD103" s="102">
        <f t="shared" si="114"/>
        <v>0.75</v>
      </c>
      <c r="BE103" s="450" t="str">
        <f t="shared" si="115"/>
        <v>OK</v>
      </c>
      <c r="BF103" s="450" t="str">
        <f t="shared" si="116"/>
        <v>OK</v>
      </c>
    </row>
    <row r="104" spans="2:58" ht="11.25">
      <c r="B104" s="119">
        <v>1</v>
      </c>
      <c r="C104" s="508">
        <f t="shared" si="89"/>
        <v>0.55</v>
      </c>
      <c r="D104" s="54"/>
      <c r="E104" s="451" t="s">
        <v>108</v>
      </c>
      <c r="F104" s="79" t="s">
        <v>231</v>
      </c>
      <c r="G104" s="458" t="s">
        <v>163</v>
      </c>
      <c r="H104" s="295">
        <v>22</v>
      </c>
      <c r="I104" s="390"/>
      <c r="J104" s="80">
        <v>6.49</v>
      </c>
      <c r="K104" s="80">
        <v>13.7</v>
      </c>
      <c r="L104" s="296">
        <v>0.23</v>
      </c>
      <c r="M104" s="29"/>
      <c r="N104" s="155"/>
      <c r="O104" s="157" t="str">
        <f t="shared" si="90"/>
        <v>NO</v>
      </c>
      <c r="P104" s="34">
        <v>50</v>
      </c>
      <c r="Q104" s="33">
        <v>1.5</v>
      </c>
      <c r="R104" s="34">
        <v>4</v>
      </c>
      <c r="S104" s="29">
        <v>4</v>
      </c>
      <c r="T104" s="34">
        <v>115</v>
      </c>
      <c r="U104" s="31">
        <v>105</v>
      </c>
      <c r="V104" s="29">
        <v>25</v>
      </c>
      <c r="W104" s="30">
        <f t="shared" si="91"/>
        <v>75</v>
      </c>
      <c r="X104" s="146">
        <f t="shared" si="92"/>
        <v>324.5</v>
      </c>
      <c r="Y104" s="147">
        <f t="shared" si="93"/>
        <v>1.272549019607843</v>
      </c>
      <c r="Z104" s="294">
        <f t="shared" si="94"/>
        <v>248.57654411764702</v>
      </c>
      <c r="AA104" s="131">
        <f t="shared" si="95"/>
        <v>1</v>
      </c>
      <c r="AB104" s="128">
        <f t="shared" si="96"/>
        <v>94.53</v>
      </c>
      <c r="AC104" s="33">
        <v>17.2</v>
      </c>
      <c r="AD104" s="52">
        <f t="shared" si="97"/>
        <v>37.73255813953489</v>
      </c>
      <c r="AE104" s="34">
        <v>30</v>
      </c>
      <c r="AF104" s="34">
        <v>1.6</v>
      </c>
      <c r="AG104" s="31">
        <v>29</v>
      </c>
      <c r="AH104" s="31">
        <v>520</v>
      </c>
      <c r="AI104" s="112">
        <f t="shared" si="98"/>
        <v>1072.25</v>
      </c>
      <c r="AJ104" s="31">
        <v>115</v>
      </c>
      <c r="AK104" s="30">
        <f t="shared" si="99"/>
        <v>0.9671371656006361</v>
      </c>
      <c r="AL104" s="52">
        <f t="shared" si="100"/>
        <v>973.18177288564</v>
      </c>
      <c r="AM104" s="52">
        <f t="shared" si="101"/>
        <v>2843.790836617024</v>
      </c>
      <c r="AN104" s="85">
        <f t="shared" si="102"/>
        <v>1501.1499999999999</v>
      </c>
      <c r="AO104" s="30">
        <f t="shared" si="103"/>
        <v>222.171159110705</v>
      </c>
      <c r="AP104" s="128">
        <f t="shared" si="104"/>
        <v>35.5473854577128</v>
      </c>
      <c r="AQ104" s="293" t="str">
        <f t="shared" si="105"/>
        <v>OK</v>
      </c>
      <c r="AR104" s="120">
        <f t="shared" si="106"/>
        <v>289.75</v>
      </c>
      <c r="AS104" s="255">
        <f t="shared" si="107"/>
        <v>24.145833333333332</v>
      </c>
      <c r="AT104" s="52">
        <f t="shared" si="108"/>
        <v>1006.25</v>
      </c>
      <c r="AU104" s="52">
        <f t="shared" si="109"/>
        <v>83.85416666666667</v>
      </c>
      <c r="AV104" s="31">
        <v>199</v>
      </c>
      <c r="AW104" s="63">
        <f t="shared" si="110"/>
        <v>22.63671875</v>
      </c>
      <c r="AX104" s="119"/>
      <c r="AY104" s="125">
        <v>0</v>
      </c>
      <c r="AZ104" s="256">
        <f t="shared" si="111"/>
        <v>3.3637254901960785</v>
      </c>
      <c r="BA104" s="67">
        <v>535</v>
      </c>
      <c r="BB104" s="257">
        <f t="shared" si="112"/>
        <v>0.4412806895468722</v>
      </c>
      <c r="BC104" s="63">
        <f t="shared" si="113"/>
        <v>0.5700286265307768</v>
      </c>
      <c r="BD104" s="130">
        <f t="shared" si="114"/>
        <v>0.75</v>
      </c>
      <c r="BE104" s="91" t="str">
        <f t="shared" si="115"/>
        <v>OK</v>
      </c>
      <c r="BF104" s="91" t="str">
        <f t="shared" si="116"/>
        <v>OK</v>
      </c>
    </row>
    <row r="105" spans="2:58" ht="11.25">
      <c r="B105" s="119">
        <v>1</v>
      </c>
      <c r="C105" s="508">
        <f t="shared" si="89"/>
        <v>0.55</v>
      </c>
      <c r="D105" s="54"/>
      <c r="E105" s="451" t="s">
        <v>232</v>
      </c>
      <c r="F105" s="79" t="s">
        <v>224</v>
      </c>
      <c r="G105" s="458" t="s">
        <v>163</v>
      </c>
      <c r="H105" s="295">
        <v>22</v>
      </c>
      <c r="I105" s="390"/>
      <c r="J105" s="80">
        <v>6.49</v>
      </c>
      <c r="K105" s="80">
        <v>13.7</v>
      </c>
      <c r="L105" s="296">
        <v>0.23</v>
      </c>
      <c r="M105" s="80"/>
      <c r="N105" s="391"/>
      <c r="O105" s="157" t="str">
        <f t="shared" si="90"/>
        <v>NO</v>
      </c>
      <c r="P105" s="297">
        <v>50</v>
      </c>
      <c r="Q105" s="33">
        <v>1.5</v>
      </c>
      <c r="R105" s="34">
        <v>4</v>
      </c>
      <c r="S105" s="29">
        <v>4</v>
      </c>
      <c r="T105" s="34">
        <v>115</v>
      </c>
      <c r="U105" s="31">
        <v>105</v>
      </c>
      <c r="V105" s="29">
        <v>25</v>
      </c>
      <c r="W105" s="30">
        <f t="shared" si="91"/>
        <v>75</v>
      </c>
      <c r="X105" s="146">
        <f t="shared" si="92"/>
        <v>324.5</v>
      </c>
      <c r="Y105" s="147">
        <f t="shared" si="93"/>
        <v>1.272549019607843</v>
      </c>
      <c r="Z105" s="294">
        <f t="shared" si="94"/>
        <v>248.57654411764702</v>
      </c>
      <c r="AA105" s="131">
        <f t="shared" si="95"/>
        <v>1</v>
      </c>
      <c r="AB105" s="128">
        <f t="shared" si="96"/>
        <v>94.53</v>
      </c>
      <c r="AC105" s="33">
        <v>17.2</v>
      </c>
      <c r="AD105" s="52">
        <f t="shared" si="97"/>
        <v>37.73255813953489</v>
      </c>
      <c r="AE105" s="34">
        <v>30</v>
      </c>
      <c r="AF105" s="34">
        <v>1.6</v>
      </c>
      <c r="AG105" s="31">
        <v>29</v>
      </c>
      <c r="AH105" s="31">
        <v>520</v>
      </c>
      <c r="AI105" s="112">
        <f t="shared" si="98"/>
        <v>1072.25</v>
      </c>
      <c r="AJ105" s="31">
        <v>115</v>
      </c>
      <c r="AK105" s="30">
        <f t="shared" si="99"/>
        <v>0.9671371656006361</v>
      </c>
      <c r="AL105" s="52">
        <f t="shared" si="100"/>
        <v>973.18177288564</v>
      </c>
      <c r="AM105" s="52">
        <f t="shared" si="101"/>
        <v>2843.790836617024</v>
      </c>
      <c r="AN105" s="85">
        <f t="shared" si="102"/>
        <v>1501.1499999999999</v>
      </c>
      <c r="AO105" s="30">
        <f t="shared" si="103"/>
        <v>222.171159110705</v>
      </c>
      <c r="AP105" s="128">
        <f t="shared" si="104"/>
        <v>35.5473854577128</v>
      </c>
      <c r="AQ105" s="293" t="str">
        <f t="shared" si="105"/>
        <v>OK</v>
      </c>
      <c r="AR105" s="120">
        <f t="shared" si="106"/>
        <v>289.75</v>
      </c>
      <c r="AS105" s="255">
        <f t="shared" si="107"/>
        <v>24.145833333333332</v>
      </c>
      <c r="AT105" s="52">
        <f t="shared" si="108"/>
        <v>1006.25</v>
      </c>
      <c r="AU105" s="52">
        <f t="shared" si="109"/>
        <v>83.85416666666667</v>
      </c>
      <c r="AV105" s="31">
        <v>199</v>
      </c>
      <c r="AW105" s="63">
        <f t="shared" si="110"/>
        <v>22.63671875</v>
      </c>
      <c r="AX105" s="119"/>
      <c r="AY105" s="125">
        <v>0</v>
      </c>
      <c r="AZ105" s="256">
        <f t="shared" si="111"/>
        <v>3.3637254901960785</v>
      </c>
      <c r="BA105" s="67">
        <v>535</v>
      </c>
      <c r="BB105" s="257">
        <f t="shared" si="112"/>
        <v>0.4412806895468722</v>
      </c>
      <c r="BC105" s="63">
        <f t="shared" si="113"/>
        <v>0.5700286265307768</v>
      </c>
      <c r="BD105" s="130">
        <f t="shared" si="114"/>
        <v>0.75</v>
      </c>
      <c r="BE105" s="91" t="str">
        <f t="shared" si="115"/>
        <v>OK</v>
      </c>
      <c r="BF105" s="91" t="str">
        <f t="shared" si="116"/>
        <v>OK</v>
      </c>
    </row>
    <row r="106" spans="2:58" ht="12" thickBot="1">
      <c r="B106" s="165">
        <v>1</v>
      </c>
      <c r="C106" s="506">
        <f t="shared" si="89"/>
        <v>0.55</v>
      </c>
      <c r="D106" s="54"/>
      <c r="E106" s="355" t="s">
        <v>233</v>
      </c>
      <c r="F106" s="438" t="s">
        <v>225</v>
      </c>
      <c r="G106" s="115" t="s">
        <v>163</v>
      </c>
      <c r="H106" s="153">
        <v>22</v>
      </c>
      <c r="I106" s="273"/>
      <c r="J106" s="100">
        <v>6.49</v>
      </c>
      <c r="K106" s="100">
        <v>13.7</v>
      </c>
      <c r="L106" s="116">
        <v>0.23</v>
      </c>
      <c r="M106" s="100"/>
      <c r="N106" s="156"/>
      <c r="O106" s="392" t="str">
        <f t="shared" si="90"/>
        <v>NO</v>
      </c>
      <c r="P106" s="297">
        <v>50</v>
      </c>
      <c r="Q106" s="64">
        <v>1.5</v>
      </c>
      <c r="R106" s="297">
        <v>4</v>
      </c>
      <c r="S106" s="80">
        <v>4</v>
      </c>
      <c r="T106" s="297">
        <v>115</v>
      </c>
      <c r="U106" s="81">
        <v>105</v>
      </c>
      <c r="V106" s="80">
        <v>25</v>
      </c>
      <c r="W106" s="82">
        <f t="shared" si="91"/>
        <v>75</v>
      </c>
      <c r="X106" s="83">
        <f t="shared" si="92"/>
        <v>324.5</v>
      </c>
      <c r="Y106" s="84">
        <f t="shared" si="93"/>
        <v>1.272549019607843</v>
      </c>
      <c r="Z106" s="303">
        <f t="shared" si="94"/>
        <v>248.57654411764702</v>
      </c>
      <c r="AA106" s="132">
        <f t="shared" si="95"/>
        <v>1</v>
      </c>
      <c r="AB106" s="453">
        <f t="shared" si="96"/>
        <v>94.53</v>
      </c>
      <c r="AC106" s="64">
        <v>17.2</v>
      </c>
      <c r="AD106" s="85">
        <f t="shared" si="97"/>
        <v>37.73255813953489</v>
      </c>
      <c r="AE106" s="297">
        <v>30</v>
      </c>
      <c r="AF106" s="297">
        <v>1.6</v>
      </c>
      <c r="AG106" s="81">
        <v>29</v>
      </c>
      <c r="AH106" s="35">
        <v>520</v>
      </c>
      <c r="AI106" s="454">
        <f t="shared" si="98"/>
        <v>1072.25</v>
      </c>
      <c r="AJ106" s="81">
        <v>115</v>
      </c>
      <c r="AK106" s="82">
        <f t="shared" si="99"/>
        <v>0.9671371656006361</v>
      </c>
      <c r="AL106" s="85">
        <f t="shared" si="100"/>
        <v>973.18177288564</v>
      </c>
      <c r="AM106" s="85">
        <f t="shared" si="101"/>
        <v>2843.790836617024</v>
      </c>
      <c r="AN106" s="252">
        <f t="shared" si="102"/>
        <v>1501.1499999999999</v>
      </c>
      <c r="AO106" s="124">
        <f t="shared" si="103"/>
        <v>222.171159110705</v>
      </c>
      <c r="AP106" s="129">
        <f t="shared" si="104"/>
        <v>35.5473854577128</v>
      </c>
      <c r="AQ106" s="316" t="str">
        <f t="shared" si="105"/>
        <v>OK</v>
      </c>
      <c r="AR106" s="114">
        <f t="shared" si="106"/>
        <v>289.75</v>
      </c>
      <c r="AS106" s="298">
        <f t="shared" si="107"/>
        <v>24.145833333333332</v>
      </c>
      <c r="AT106" s="85">
        <f t="shared" si="108"/>
        <v>1006.25</v>
      </c>
      <c r="AU106" s="85">
        <f t="shared" si="109"/>
        <v>83.85416666666667</v>
      </c>
      <c r="AV106" s="81">
        <v>199</v>
      </c>
      <c r="AW106" s="88">
        <f t="shared" si="110"/>
        <v>22.63671875</v>
      </c>
      <c r="AX106" s="254"/>
      <c r="AY106" s="300">
        <v>0</v>
      </c>
      <c r="AZ106" s="301">
        <f t="shared" si="111"/>
        <v>3.3637254901960785</v>
      </c>
      <c r="BA106" s="87">
        <v>535</v>
      </c>
      <c r="BB106" s="302">
        <f t="shared" si="112"/>
        <v>0.4412806895468722</v>
      </c>
      <c r="BC106" s="88">
        <f t="shared" si="113"/>
        <v>0.5700286265307768</v>
      </c>
      <c r="BD106" s="363">
        <f t="shared" si="114"/>
        <v>0.75</v>
      </c>
      <c r="BE106" s="89" t="str">
        <f t="shared" si="115"/>
        <v>OK</v>
      </c>
      <c r="BF106" s="89" t="str">
        <f t="shared" si="116"/>
        <v>OK</v>
      </c>
    </row>
    <row r="107" spans="2:58" ht="11.25">
      <c r="B107" s="254">
        <v>1</v>
      </c>
      <c r="C107" s="505">
        <f t="shared" si="89"/>
        <v>0.715</v>
      </c>
      <c r="D107" s="54"/>
      <c r="E107" s="371" t="s">
        <v>204</v>
      </c>
      <c r="F107" s="421" t="s">
        <v>234</v>
      </c>
      <c r="G107" s="458" t="s">
        <v>109</v>
      </c>
      <c r="H107" s="295">
        <v>26</v>
      </c>
      <c r="I107" s="295" t="s">
        <v>89</v>
      </c>
      <c r="J107" s="80">
        <v>7.68</v>
      </c>
      <c r="K107" s="80">
        <v>15.7</v>
      </c>
      <c r="L107" s="296">
        <v>0.25</v>
      </c>
      <c r="M107" s="80">
        <v>56.8</v>
      </c>
      <c r="N107" s="391">
        <v>5</v>
      </c>
      <c r="O107" s="372">
        <f t="shared" si="90"/>
        <v>1</v>
      </c>
      <c r="P107" s="4">
        <v>50</v>
      </c>
      <c r="Q107" s="6">
        <v>1.5</v>
      </c>
      <c r="R107" s="4">
        <v>4</v>
      </c>
      <c r="S107" s="140">
        <v>4</v>
      </c>
      <c r="T107" s="4">
        <v>115</v>
      </c>
      <c r="U107" s="141">
        <v>117</v>
      </c>
      <c r="V107" s="140">
        <v>27.5</v>
      </c>
      <c r="W107" s="142">
        <f t="shared" si="91"/>
        <v>82.5</v>
      </c>
      <c r="X107" s="440">
        <f t="shared" si="92"/>
        <v>384</v>
      </c>
      <c r="Y107" s="441">
        <f t="shared" si="93"/>
        <v>1.3689839572192513</v>
      </c>
      <c r="Z107" s="442">
        <f t="shared" si="94"/>
        <v>321.5666310160428</v>
      </c>
      <c r="AA107" s="162">
        <f t="shared" si="95"/>
        <v>0.9</v>
      </c>
      <c r="AB107" s="51">
        <f t="shared" si="96"/>
        <v>105.975</v>
      </c>
      <c r="AC107" s="6">
        <v>17.2</v>
      </c>
      <c r="AD107" s="143">
        <f t="shared" si="97"/>
        <v>44.651162790697676</v>
      </c>
      <c r="AE107" s="4">
        <v>30</v>
      </c>
      <c r="AF107" s="4">
        <v>1.6</v>
      </c>
      <c r="AG107" s="141">
        <v>29</v>
      </c>
      <c r="AH107" s="141">
        <v>520</v>
      </c>
      <c r="AI107" s="144">
        <f t="shared" si="98"/>
        <v>1136.85</v>
      </c>
      <c r="AJ107" s="141">
        <v>115</v>
      </c>
      <c r="AK107" s="142">
        <f t="shared" si="99"/>
        <v>0.8977502756312957</v>
      </c>
      <c r="AL107" s="143">
        <f t="shared" si="100"/>
        <v>1006.6024965515903</v>
      </c>
      <c r="AM107" s="143">
        <f t="shared" si="101"/>
        <v>2974.7839944825446</v>
      </c>
      <c r="AN107" s="290">
        <f t="shared" si="102"/>
        <v>1591.5899999999997</v>
      </c>
      <c r="AO107" s="23">
        <f t="shared" si="103"/>
        <v>281.210049478428</v>
      </c>
      <c r="AP107" s="86">
        <f t="shared" si="104"/>
        <v>40.903279924134985</v>
      </c>
      <c r="AQ107" s="364" t="str">
        <f t="shared" si="105"/>
        <v>OK</v>
      </c>
      <c r="AR107" s="444">
        <f t="shared" si="106"/>
        <v>324.35</v>
      </c>
      <c r="AS107" s="145">
        <f t="shared" si="107"/>
        <v>27.02916666666667</v>
      </c>
      <c r="AT107" s="143">
        <f t="shared" si="108"/>
        <v>1121.25</v>
      </c>
      <c r="AU107" s="143">
        <f t="shared" si="109"/>
        <v>93.4375</v>
      </c>
      <c r="AV107" s="141">
        <v>301</v>
      </c>
      <c r="AW107" s="445">
        <f t="shared" si="110"/>
        <v>30.6612109375</v>
      </c>
      <c r="AX107" s="446"/>
      <c r="AY107" s="447">
        <v>0</v>
      </c>
      <c r="AZ107" s="448">
        <f t="shared" si="111"/>
        <v>3.3155080213903743</v>
      </c>
      <c r="BA107" s="7">
        <v>778</v>
      </c>
      <c r="BB107" s="449">
        <f t="shared" si="112"/>
        <v>0.47814839487537947</v>
      </c>
      <c r="BC107" s="445">
        <f t="shared" si="113"/>
        <v>0.6394964745150169</v>
      </c>
      <c r="BD107" s="102">
        <f t="shared" si="114"/>
        <v>0.8250000000000001</v>
      </c>
      <c r="BE107" s="450" t="str">
        <f t="shared" si="115"/>
        <v>OK</v>
      </c>
      <c r="BF107" s="450" t="str">
        <f t="shared" si="116"/>
        <v>OK</v>
      </c>
    </row>
    <row r="108" spans="2:58" ht="11.25">
      <c r="B108" s="119">
        <v>1</v>
      </c>
      <c r="C108" s="508">
        <f t="shared" si="89"/>
        <v>0.715</v>
      </c>
      <c r="D108" s="54"/>
      <c r="E108" s="451" t="s">
        <v>234</v>
      </c>
      <c r="F108" s="79" t="s">
        <v>205</v>
      </c>
      <c r="G108" s="458" t="s">
        <v>109</v>
      </c>
      <c r="H108" s="295">
        <v>26</v>
      </c>
      <c r="I108" s="295" t="s">
        <v>89</v>
      </c>
      <c r="J108" s="80">
        <v>7.68</v>
      </c>
      <c r="K108" s="80">
        <v>15.7</v>
      </c>
      <c r="L108" s="296">
        <v>0.25</v>
      </c>
      <c r="M108" s="80">
        <v>56.8</v>
      </c>
      <c r="N108" s="391">
        <v>5</v>
      </c>
      <c r="O108" s="157">
        <f t="shared" si="90"/>
        <v>1</v>
      </c>
      <c r="P108" s="34">
        <v>50</v>
      </c>
      <c r="Q108" s="33">
        <v>1.5</v>
      </c>
      <c r="R108" s="34">
        <v>4</v>
      </c>
      <c r="S108" s="29">
        <v>4</v>
      </c>
      <c r="T108" s="34">
        <v>115</v>
      </c>
      <c r="U108" s="31">
        <v>117</v>
      </c>
      <c r="V108" s="29">
        <v>27.5</v>
      </c>
      <c r="W108" s="30">
        <f t="shared" si="91"/>
        <v>82.5</v>
      </c>
      <c r="X108" s="146">
        <f t="shared" si="92"/>
        <v>384</v>
      </c>
      <c r="Y108" s="147">
        <f t="shared" si="93"/>
        <v>1.3689839572192513</v>
      </c>
      <c r="Z108" s="294">
        <f t="shared" si="94"/>
        <v>321.5666310160428</v>
      </c>
      <c r="AA108" s="131">
        <f t="shared" si="95"/>
        <v>0.9</v>
      </c>
      <c r="AB108" s="128">
        <f t="shared" si="96"/>
        <v>105.975</v>
      </c>
      <c r="AC108" s="33">
        <v>17.2</v>
      </c>
      <c r="AD108" s="52">
        <f t="shared" si="97"/>
        <v>44.651162790697676</v>
      </c>
      <c r="AE108" s="34">
        <v>30</v>
      </c>
      <c r="AF108" s="34">
        <v>1.6</v>
      </c>
      <c r="AG108" s="31">
        <v>29</v>
      </c>
      <c r="AH108" s="31">
        <v>520</v>
      </c>
      <c r="AI108" s="112">
        <f t="shared" si="98"/>
        <v>1136.85</v>
      </c>
      <c r="AJ108" s="31">
        <v>115</v>
      </c>
      <c r="AK108" s="30">
        <f t="shared" si="99"/>
        <v>0.8977502756312957</v>
      </c>
      <c r="AL108" s="52">
        <f t="shared" si="100"/>
        <v>1006.6024965515903</v>
      </c>
      <c r="AM108" s="52">
        <f t="shared" si="101"/>
        <v>2974.7839944825446</v>
      </c>
      <c r="AN108" s="85">
        <f t="shared" si="102"/>
        <v>1591.5899999999997</v>
      </c>
      <c r="AO108" s="30">
        <f t="shared" si="103"/>
        <v>281.210049478428</v>
      </c>
      <c r="AP108" s="128">
        <f t="shared" si="104"/>
        <v>40.903279924134985</v>
      </c>
      <c r="AQ108" s="293" t="str">
        <f t="shared" si="105"/>
        <v>OK</v>
      </c>
      <c r="AR108" s="120">
        <f t="shared" si="106"/>
        <v>324.35</v>
      </c>
      <c r="AS108" s="255">
        <f t="shared" si="107"/>
        <v>27.02916666666667</v>
      </c>
      <c r="AT108" s="52">
        <f t="shared" si="108"/>
        <v>1121.25</v>
      </c>
      <c r="AU108" s="52">
        <f t="shared" si="109"/>
        <v>93.4375</v>
      </c>
      <c r="AV108" s="31">
        <v>301</v>
      </c>
      <c r="AW108" s="63">
        <f t="shared" si="110"/>
        <v>30.6612109375</v>
      </c>
      <c r="AX108" s="119"/>
      <c r="AY108" s="125">
        <v>0</v>
      </c>
      <c r="AZ108" s="256">
        <f t="shared" si="111"/>
        <v>3.3155080213903743</v>
      </c>
      <c r="BA108" s="67">
        <v>778</v>
      </c>
      <c r="BB108" s="257">
        <f t="shared" si="112"/>
        <v>0.47814839487537947</v>
      </c>
      <c r="BC108" s="63">
        <f t="shared" si="113"/>
        <v>0.6394964745150169</v>
      </c>
      <c r="BD108" s="130">
        <f t="shared" si="114"/>
        <v>0.8250000000000001</v>
      </c>
      <c r="BE108" s="91" t="str">
        <f t="shared" si="115"/>
        <v>OK</v>
      </c>
      <c r="BF108" s="91" t="str">
        <f t="shared" si="116"/>
        <v>OK</v>
      </c>
    </row>
    <row r="109" spans="2:58" ht="11.25">
      <c r="B109" s="119">
        <v>1</v>
      </c>
      <c r="C109" s="508">
        <f t="shared" si="89"/>
        <v>0.715</v>
      </c>
      <c r="D109" s="54"/>
      <c r="E109" s="357" t="s">
        <v>206</v>
      </c>
      <c r="F109" s="79" t="s">
        <v>235</v>
      </c>
      <c r="G109" s="458" t="s">
        <v>109</v>
      </c>
      <c r="H109" s="295">
        <v>26</v>
      </c>
      <c r="I109" s="295" t="s">
        <v>89</v>
      </c>
      <c r="J109" s="80">
        <v>7.68</v>
      </c>
      <c r="K109" s="80">
        <v>15.7</v>
      </c>
      <c r="L109" s="296">
        <v>0.25</v>
      </c>
      <c r="M109" s="80">
        <v>56.8</v>
      </c>
      <c r="N109" s="391">
        <v>5</v>
      </c>
      <c r="O109" s="157">
        <f t="shared" si="90"/>
        <v>1</v>
      </c>
      <c r="P109" s="34">
        <v>50</v>
      </c>
      <c r="Q109" s="33">
        <v>1.5</v>
      </c>
      <c r="R109" s="34">
        <v>4</v>
      </c>
      <c r="S109" s="29">
        <v>4</v>
      </c>
      <c r="T109" s="34">
        <v>115</v>
      </c>
      <c r="U109" s="31">
        <v>117</v>
      </c>
      <c r="V109" s="29">
        <v>27.5</v>
      </c>
      <c r="W109" s="30">
        <f t="shared" si="91"/>
        <v>82.5</v>
      </c>
      <c r="X109" s="146">
        <f t="shared" si="92"/>
        <v>384</v>
      </c>
      <c r="Y109" s="147">
        <f t="shared" si="93"/>
        <v>1.3689839572192513</v>
      </c>
      <c r="Z109" s="294">
        <f t="shared" si="94"/>
        <v>321.5666310160428</v>
      </c>
      <c r="AA109" s="131">
        <f t="shared" si="95"/>
        <v>0.9</v>
      </c>
      <c r="AB109" s="128">
        <f t="shared" si="96"/>
        <v>105.975</v>
      </c>
      <c r="AC109" s="33">
        <v>17.2</v>
      </c>
      <c r="AD109" s="52">
        <f t="shared" si="97"/>
        <v>44.651162790697676</v>
      </c>
      <c r="AE109" s="34">
        <v>30</v>
      </c>
      <c r="AF109" s="34">
        <v>1.6</v>
      </c>
      <c r="AG109" s="31">
        <v>29</v>
      </c>
      <c r="AH109" s="31">
        <v>520</v>
      </c>
      <c r="AI109" s="112">
        <f t="shared" si="98"/>
        <v>1136.85</v>
      </c>
      <c r="AJ109" s="31">
        <v>115</v>
      </c>
      <c r="AK109" s="30">
        <f t="shared" si="99"/>
        <v>0.8977502756312957</v>
      </c>
      <c r="AL109" s="52">
        <f t="shared" si="100"/>
        <v>1006.6024965515903</v>
      </c>
      <c r="AM109" s="52">
        <f t="shared" si="101"/>
        <v>2974.7839944825446</v>
      </c>
      <c r="AN109" s="85">
        <f t="shared" si="102"/>
        <v>1591.5899999999997</v>
      </c>
      <c r="AO109" s="30">
        <f t="shared" si="103"/>
        <v>281.210049478428</v>
      </c>
      <c r="AP109" s="128">
        <f t="shared" si="104"/>
        <v>40.903279924134985</v>
      </c>
      <c r="AQ109" s="293" t="str">
        <f t="shared" si="105"/>
        <v>OK</v>
      </c>
      <c r="AR109" s="120">
        <f t="shared" si="106"/>
        <v>324.35</v>
      </c>
      <c r="AS109" s="255">
        <f t="shared" si="107"/>
        <v>27.02916666666667</v>
      </c>
      <c r="AT109" s="52">
        <f t="shared" si="108"/>
        <v>1121.25</v>
      </c>
      <c r="AU109" s="52">
        <f t="shared" si="109"/>
        <v>93.4375</v>
      </c>
      <c r="AV109" s="31">
        <v>301</v>
      </c>
      <c r="AW109" s="63">
        <f t="shared" si="110"/>
        <v>30.6612109375</v>
      </c>
      <c r="AX109" s="119"/>
      <c r="AY109" s="125">
        <v>0</v>
      </c>
      <c r="AZ109" s="256">
        <f t="shared" si="111"/>
        <v>3.3155080213903743</v>
      </c>
      <c r="BA109" s="67">
        <v>778</v>
      </c>
      <c r="BB109" s="257">
        <f t="shared" si="112"/>
        <v>0.47814839487537947</v>
      </c>
      <c r="BC109" s="63">
        <f t="shared" si="113"/>
        <v>0.6394964745150169</v>
      </c>
      <c r="BD109" s="130">
        <f t="shared" si="114"/>
        <v>0.8250000000000001</v>
      </c>
      <c r="BE109" s="91" t="str">
        <f t="shared" si="115"/>
        <v>OK</v>
      </c>
      <c r="BF109" s="91" t="str">
        <f t="shared" si="116"/>
        <v>OK</v>
      </c>
    </row>
    <row r="110" spans="2:59" ht="12" thickBot="1">
      <c r="B110" s="165">
        <v>1</v>
      </c>
      <c r="C110" s="504">
        <f t="shared" si="89"/>
        <v>0.715</v>
      </c>
      <c r="D110" s="54"/>
      <c r="E110" s="393" t="s">
        <v>235</v>
      </c>
      <c r="F110" s="459" t="s">
        <v>207</v>
      </c>
      <c r="G110" s="115" t="s">
        <v>109</v>
      </c>
      <c r="H110" s="153">
        <v>26</v>
      </c>
      <c r="I110" s="153" t="s">
        <v>89</v>
      </c>
      <c r="J110" s="100">
        <v>7.68</v>
      </c>
      <c r="K110" s="100">
        <v>15.7</v>
      </c>
      <c r="L110" s="116">
        <v>0.25</v>
      </c>
      <c r="M110" s="100">
        <v>56.8</v>
      </c>
      <c r="N110" s="156">
        <v>5</v>
      </c>
      <c r="O110" s="158">
        <f t="shared" si="90"/>
        <v>1</v>
      </c>
      <c r="P110" s="286">
        <v>50</v>
      </c>
      <c r="Q110" s="36">
        <v>1.5</v>
      </c>
      <c r="R110" s="286">
        <v>4</v>
      </c>
      <c r="S110" s="306">
        <v>4</v>
      </c>
      <c r="T110" s="286">
        <v>115</v>
      </c>
      <c r="U110" s="35">
        <v>117</v>
      </c>
      <c r="V110" s="306">
        <v>27.5</v>
      </c>
      <c r="W110" s="148">
        <f t="shared" si="91"/>
        <v>82.5</v>
      </c>
      <c r="X110" s="149">
        <f t="shared" si="92"/>
        <v>384</v>
      </c>
      <c r="Y110" s="150">
        <f t="shared" si="93"/>
        <v>1.3689839572192513</v>
      </c>
      <c r="Z110" s="374">
        <f t="shared" si="94"/>
        <v>321.5666310160428</v>
      </c>
      <c r="AA110" s="164">
        <f t="shared" si="95"/>
        <v>0.9</v>
      </c>
      <c r="AB110" s="308">
        <f t="shared" si="96"/>
        <v>105.975</v>
      </c>
      <c r="AC110" s="36">
        <v>17.2</v>
      </c>
      <c r="AD110" s="376">
        <f t="shared" si="97"/>
        <v>44.651162790697676</v>
      </c>
      <c r="AE110" s="286">
        <v>30</v>
      </c>
      <c r="AF110" s="286">
        <v>1.6</v>
      </c>
      <c r="AG110" s="35">
        <v>29</v>
      </c>
      <c r="AH110" s="35">
        <v>520</v>
      </c>
      <c r="AI110" s="377">
        <f t="shared" si="98"/>
        <v>1136.85</v>
      </c>
      <c r="AJ110" s="35">
        <v>115</v>
      </c>
      <c r="AK110" s="148">
        <f t="shared" si="99"/>
        <v>0.8977502756312957</v>
      </c>
      <c r="AL110" s="376">
        <f t="shared" si="100"/>
        <v>1006.6024965515903</v>
      </c>
      <c r="AM110" s="376">
        <f t="shared" si="101"/>
        <v>2974.7839944825446</v>
      </c>
      <c r="AN110" s="106">
        <f t="shared" si="102"/>
        <v>1591.5899999999997</v>
      </c>
      <c r="AO110" s="107">
        <f t="shared" si="103"/>
        <v>281.210049478428</v>
      </c>
      <c r="AP110" s="129">
        <f t="shared" si="104"/>
        <v>40.903279924134985</v>
      </c>
      <c r="AQ110" s="311" t="str">
        <f t="shared" si="105"/>
        <v>OK</v>
      </c>
      <c r="AR110" s="378">
        <f t="shared" si="106"/>
        <v>324.35</v>
      </c>
      <c r="AS110" s="379">
        <f t="shared" si="107"/>
        <v>27.02916666666667</v>
      </c>
      <c r="AT110" s="376">
        <f t="shared" si="108"/>
        <v>1121.25</v>
      </c>
      <c r="AU110" s="376">
        <f t="shared" si="109"/>
        <v>93.4375</v>
      </c>
      <c r="AV110" s="35">
        <v>301</v>
      </c>
      <c r="AW110" s="380">
        <f t="shared" si="110"/>
        <v>30.6612109375</v>
      </c>
      <c r="AX110" s="381"/>
      <c r="AY110" s="382">
        <v>0</v>
      </c>
      <c r="AZ110" s="383">
        <f t="shared" si="111"/>
        <v>3.3155080213903743</v>
      </c>
      <c r="BA110" s="368">
        <v>778</v>
      </c>
      <c r="BB110" s="310">
        <f t="shared" si="112"/>
        <v>0.47814839487537947</v>
      </c>
      <c r="BC110" s="380">
        <f t="shared" si="113"/>
        <v>0.6394964745150169</v>
      </c>
      <c r="BD110" s="113">
        <f t="shared" si="114"/>
        <v>0.8250000000000001</v>
      </c>
      <c r="BE110" s="385" t="str">
        <f t="shared" si="115"/>
        <v>OK</v>
      </c>
      <c r="BF110" s="311" t="str">
        <f t="shared" si="116"/>
        <v>OK</v>
      </c>
      <c r="BG110" s="460"/>
    </row>
    <row r="111" spans="2:3" ht="11.25">
      <c r="B111" s="13"/>
      <c r="C111" s="318"/>
    </row>
    <row r="112" spans="2:3" ht="11.25">
      <c r="B112" s="13"/>
      <c r="C112" s="318"/>
    </row>
    <row r="113" spans="2:3" ht="11.25">
      <c r="B113" s="13"/>
      <c r="C113" s="318"/>
    </row>
    <row r="114" spans="2:3" ht="11.25">
      <c r="B114" s="13"/>
      <c r="C114" s="318"/>
    </row>
    <row r="115" spans="2:3" ht="11.25">
      <c r="B115" s="13"/>
      <c r="C115" s="318"/>
    </row>
    <row r="116" spans="2:3" ht="11.25">
      <c r="B116" s="13"/>
      <c r="C116" s="318"/>
    </row>
    <row r="117" spans="2:3" ht="11.25">
      <c r="B117" s="13"/>
      <c r="C117" s="318"/>
    </row>
    <row r="118" spans="2:3" ht="11.25">
      <c r="B118" s="13"/>
      <c r="C118" s="318"/>
    </row>
    <row r="121" ht="11.25">
      <c r="B121" s="13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130"/>
  <sheetViews>
    <sheetView workbookViewId="0" topLeftCell="A1">
      <selection activeCell="C116" sqref="C116"/>
    </sheetView>
  </sheetViews>
  <sheetFormatPr defaultColWidth="9.140625" defaultRowHeight="12.75"/>
  <cols>
    <col min="1" max="1" width="1.1484375" style="8" customWidth="1"/>
    <col min="2" max="2" width="6.28125" style="8" customWidth="1"/>
    <col min="3" max="3" width="6.28125" style="494" customWidth="1"/>
    <col min="4" max="4" width="0.71875" style="8" customWidth="1"/>
    <col min="5" max="5" width="7.421875" style="75" customWidth="1"/>
    <col min="6" max="6" width="5.28125" style="75" customWidth="1"/>
    <col min="7" max="7" width="5.140625" style="8" customWidth="1"/>
    <col min="8" max="8" width="5.8515625" style="8" customWidth="1"/>
    <col min="9" max="9" width="5.00390625" style="8" bestFit="1" customWidth="1"/>
    <col min="10" max="10" width="5.421875" style="9" bestFit="1" customWidth="1"/>
    <col min="11" max="11" width="5.00390625" style="8" bestFit="1" customWidth="1"/>
    <col min="12" max="13" width="4.8515625" style="8" bestFit="1" customWidth="1"/>
    <col min="14" max="14" width="2.8515625" style="8" bestFit="1" customWidth="1"/>
    <col min="15" max="15" width="4.7109375" style="8" bestFit="1" customWidth="1"/>
    <col min="16" max="16" width="5.8515625" style="8" bestFit="1" customWidth="1"/>
    <col min="17" max="17" width="5.57421875" style="8" bestFit="1" customWidth="1"/>
    <col min="18" max="18" width="5.57421875" style="8" customWidth="1"/>
    <col min="19" max="19" width="4.8515625" style="8" bestFit="1" customWidth="1"/>
    <col min="20" max="20" width="5.8515625" style="8" customWidth="1"/>
    <col min="21" max="21" width="5.57421875" style="8" bestFit="1" customWidth="1"/>
    <col min="22" max="22" width="5.7109375" style="8" bestFit="1" customWidth="1"/>
    <col min="23" max="23" width="5.8515625" style="8" bestFit="1" customWidth="1"/>
    <col min="24" max="24" width="6.7109375" style="8" bestFit="1" customWidth="1"/>
    <col min="25" max="25" width="4.8515625" style="8" bestFit="1" customWidth="1"/>
    <col min="26" max="26" width="5.7109375" style="8" bestFit="1" customWidth="1"/>
    <col min="27" max="27" width="6.7109375" style="8" customWidth="1"/>
    <col min="28" max="28" width="4.8515625" style="8" bestFit="1" customWidth="1"/>
    <col min="29" max="29" width="6.7109375" style="8" bestFit="1" customWidth="1"/>
    <col min="30" max="30" width="6.140625" style="8" bestFit="1" customWidth="1"/>
    <col min="31" max="33" width="6.57421875" style="8" bestFit="1" customWidth="1"/>
    <col min="34" max="34" width="4.8515625" style="8" bestFit="1" customWidth="1"/>
    <col min="35" max="35" width="5.7109375" style="8" bestFit="1" customWidth="1"/>
    <col min="36" max="36" width="6.421875" style="8" bestFit="1" customWidth="1"/>
    <col min="37" max="37" width="6.57421875" style="8" bestFit="1" customWidth="1"/>
    <col min="38" max="38" width="5.7109375" style="8" bestFit="1" customWidth="1"/>
    <col min="39" max="39" width="6.140625" style="8" bestFit="1" customWidth="1"/>
    <col min="40" max="41" width="6.421875" style="8" bestFit="1" customWidth="1"/>
    <col min="42" max="43" width="7.421875" style="8" bestFit="1" customWidth="1"/>
    <col min="44" max="44" width="6.57421875" style="8" bestFit="1" customWidth="1"/>
    <col min="45" max="46" width="5.7109375" style="8" bestFit="1" customWidth="1"/>
    <col min="47" max="47" width="6.57421875" style="8" bestFit="1" customWidth="1"/>
    <col min="48" max="48" width="4.8515625" style="8" bestFit="1" customWidth="1"/>
    <col min="49" max="49" width="5.28125" style="8" bestFit="1" customWidth="1"/>
    <col min="50" max="51" width="6.28125" style="8" bestFit="1" customWidth="1"/>
    <col min="52" max="52" width="5.7109375" style="8" bestFit="1" customWidth="1"/>
    <col min="53" max="53" width="6.28125" style="8" bestFit="1" customWidth="1"/>
    <col min="54" max="54" width="7.421875" style="8" bestFit="1" customWidth="1"/>
    <col min="55" max="56" width="5.140625" style="8" bestFit="1" customWidth="1"/>
    <col min="57" max="57" width="5.7109375" style="8" bestFit="1" customWidth="1"/>
    <col min="58" max="59" width="5.8515625" style="8" bestFit="1" customWidth="1"/>
    <col min="60" max="60" width="5.7109375" style="8" bestFit="1" customWidth="1"/>
    <col min="61" max="61" width="5.8515625" style="8" bestFit="1" customWidth="1"/>
    <col min="62" max="62" width="3.00390625" style="8" bestFit="1" customWidth="1"/>
    <col min="63" max="63" width="4.8515625" style="8" bestFit="1" customWidth="1"/>
    <col min="64" max="64" width="6.28125" style="8" bestFit="1" customWidth="1"/>
    <col min="65" max="65" width="5.28125" style="8" bestFit="1" customWidth="1"/>
    <col min="66" max="66" width="4.421875" style="8" bestFit="1" customWidth="1"/>
    <col min="67" max="67" width="5.00390625" style="8" bestFit="1" customWidth="1"/>
    <col min="68" max="69" width="5.140625" style="8" bestFit="1" customWidth="1"/>
    <col min="70" max="70" width="4.8515625" style="8" customWidth="1"/>
    <col min="71" max="71" width="5.140625" style="8" bestFit="1" customWidth="1"/>
    <col min="72" max="72" width="5.8515625" style="8" bestFit="1" customWidth="1"/>
    <col min="73" max="16384" width="9.140625" style="8" customWidth="1"/>
  </cols>
  <sheetData>
    <row r="1" spans="18:22" ht="3.75" customHeight="1">
      <c r="R1" s="13"/>
      <c r="S1" s="13"/>
      <c r="T1" s="13"/>
      <c r="U1" s="13"/>
      <c r="V1" s="13"/>
    </row>
    <row r="2" spans="5:22" ht="20.25">
      <c r="E2" s="96" t="s">
        <v>64</v>
      </c>
      <c r="V2" s="13"/>
    </row>
    <row r="3" spans="5:16" ht="11.25">
      <c r="E3" s="53" t="s">
        <v>55</v>
      </c>
      <c r="O3" s="241"/>
      <c r="P3" s="13"/>
    </row>
    <row r="4" spans="15:20" ht="11.25" customHeight="1">
      <c r="O4" s="283"/>
      <c r="P4" s="13"/>
      <c r="R4" s="53" t="s">
        <v>142</v>
      </c>
      <c r="S4" s="75"/>
      <c r="T4" s="97" t="s">
        <v>143</v>
      </c>
    </row>
    <row r="5" spans="5:20" ht="11.25" customHeight="1">
      <c r="E5" s="98" t="s">
        <v>77</v>
      </c>
      <c r="F5" s="97">
        <v>15</v>
      </c>
      <c r="G5" s="8" t="s">
        <v>66</v>
      </c>
      <c r="I5" s="9"/>
      <c r="J5" s="8"/>
      <c r="O5" s="241"/>
      <c r="P5" s="75"/>
      <c r="R5" s="75"/>
      <c r="S5" s="75"/>
      <c r="T5" s="75" t="s">
        <v>144</v>
      </c>
    </row>
    <row r="6" spans="6:19" ht="11.25">
      <c r="F6" s="75" t="s">
        <v>65</v>
      </c>
      <c r="I6" s="9"/>
      <c r="J6" s="8"/>
      <c r="P6" s="281"/>
      <c r="R6" s="75"/>
      <c r="S6" s="75"/>
    </row>
    <row r="7" spans="5:21" ht="11.25">
      <c r="E7" s="75" t="s">
        <v>68</v>
      </c>
      <c r="F7" s="75">
        <v>2</v>
      </c>
      <c r="G7" s="8" t="s">
        <v>151</v>
      </c>
      <c r="I7" s="9"/>
      <c r="J7" s="8"/>
      <c r="R7" s="53" t="s">
        <v>145</v>
      </c>
      <c r="S7" s="75"/>
      <c r="T7" s="53" t="s">
        <v>146</v>
      </c>
      <c r="U7" s="75"/>
    </row>
    <row r="8" spans="18:21" ht="11.25">
      <c r="R8" s="53" t="s">
        <v>147</v>
      </c>
      <c r="S8" s="75"/>
      <c r="T8" s="53" t="s">
        <v>148</v>
      </c>
      <c r="U8" s="75"/>
    </row>
    <row r="9" spans="5:22" ht="11.25">
      <c r="E9" s="53" t="s">
        <v>182</v>
      </c>
      <c r="O9" s="283"/>
      <c r="R9" s="53" t="s">
        <v>149</v>
      </c>
      <c r="S9" s="75"/>
      <c r="T9" s="53" t="s">
        <v>150</v>
      </c>
      <c r="U9" s="75"/>
      <c r="V9" s="13"/>
    </row>
    <row r="10" spans="5:22" ht="11.25">
      <c r="E10" s="53" t="s">
        <v>181</v>
      </c>
      <c r="O10" s="283"/>
      <c r="T10" s="13"/>
      <c r="U10" s="13"/>
      <c r="V10" s="13"/>
    </row>
    <row r="11" spans="5:22" ht="11.25">
      <c r="E11" s="53" t="s">
        <v>179</v>
      </c>
      <c r="O11" s="283"/>
      <c r="R11" s="8" t="s">
        <v>261</v>
      </c>
      <c r="T11" s="13"/>
      <c r="U11" s="13"/>
      <c r="V11" s="13"/>
    </row>
    <row r="12" spans="5:22" ht="11.25">
      <c r="E12" s="53" t="s">
        <v>180</v>
      </c>
      <c r="Q12" s="13"/>
      <c r="R12" s="318">
        <f>SUM(C:C)</f>
        <v>53.63900000000001</v>
      </c>
      <c r="S12" s="13" t="s">
        <v>35</v>
      </c>
      <c r="U12" s="13"/>
      <c r="V12" s="13"/>
    </row>
    <row r="13" spans="5:22" ht="11.25">
      <c r="E13" s="53" t="s">
        <v>80</v>
      </c>
      <c r="Q13" s="13"/>
      <c r="R13" s="13"/>
      <c r="S13" s="13"/>
      <c r="U13" s="13"/>
      <c r="V13" s="13"/>
    </row>
    <row r="14" spans="5:22" ht="11.25">
      <c r="E14" s="8"/>
      <c r="F14" s="8"/>
      <c r="J14" s="8"/>
      <c r="Q14" s="13"/>
      <c r="R14" s="13" t="s">
        <v>262</v>
      </c>
      <c r="S14" s="13"/>
      <c r="U14" s="13"/>
      <c r="V14" s="13"/>
    </row>
    <row r="15" spans="5:22" ht="11.25">
      <c r="E15" s="13"/>
      <c r="F15" s="64"/>
      <c r="H15" s="64" t="s">
        <v>111</v>
      </c>
      <c r="I15" s="64"/>
      <c r="J15" s="13"/>
      <c r="Q15" s="13"/>
      <c r="R15" s="13">
        <f>SUM(B:B)</f>
        <v>106</v>
      </c>
      <c r="S15" s="13"/>
      <c r="U15" s="13"/>
      <c r="V15" s="13"/>
    </row>
    <row r="16" spans="5:22" ht="12" thickBot="1">
      <c r="E16" s="10"/>
      <c r="F16" s="279" t="s">
        <v>121</v>
      </c>
      <c r="G16" s="279"/>
      <c r="H16" s="279"/>
      <c r="I16" s="280" t="s">
        <v>122</v>
      </c>
      <c r="J16" s="167"/>
      <c r="Q16" s="13"/>
      <c r="R16" s="13"/>
      <c r="S16" s="13"/>
      <c r="U16" s="13"/>
      <c r="V16" s="13"/>
    </row>
    <row r="17" spans="5:22" ht="12" thickTop="1">
      <c r="E17" s="8"/>
      <c r="F17" s="98" t="s">
        <v>123</v>
      </c>
      <c r="H17" s="14" t="s">
        <v>123</v>
      </c>
      <c r="I17" s="167"/>
      <c r="J17" s="167"/>
      <c r="Q17" s="13"/>
      <c r="R17" s="13"/>
      <c r="S17" s="13"/>
      <c r="U17" s="13"/>
      <c r="V17" s="13"/>
    </row>
    <row r="18" spans="5:22" ht="11.25">
      <c r="E18" s="276"/>
      <c r="G18" s="98" t="s">
        <v>21</v>
      </c>
      <c r="I18" s="269"/>
      <c r="J18" s="167"/>
      <c r="Q18" s="13"/>
      <c r="R18" s="13"/>
      <c r="S18" s="13"/>
      <c r="U18" s="13"/>
      <c r="V18" s="13"/>
    </row>
    <row r="19" spans="5:22" ht="11.25">
      <c r="E19" s="276"/>
      <c r="F19" s="8"/>
      <c r="H19" s="13"/>
      <c r="I19" s="10"/>
      <c r="J19" s="13"/>
      <c r="Q19" s="13"/>
      <c r="R19" s="13"/>
      <c r="S19" s="13"/>
      <c r="U19" s="13"/>
      <c r="V19" s="13"/>
    </row>
    <row r="20" spans="2:57" ht="12" thickBot="1">
      <c r="B20" s="36"/>
      <c r="C20" s="495"/>
      <c r="E20" s="53"/>
      <c r="Q20" s="13"/>
      <c r="R20" s="13"/>
      <c r="S20" s="13"/>
      <c r="U20" s="13"/>
      <c r="V20" s="13"/>
      <c r="BE20" s="13"/>
    </row>
    <row r="21" spans="2:57" ht="12" thickBot="1">
      <c r="B21" s="493"/>
      <c r="C21" s="496"/>
      <c r="D21" s="54"/>
      <c r="E21" s="121" t="s">
        <v>152</v>
      </c>
      <c r="F21" s="94"/>
      <c r="G21" s="99"/>
      <c r="H21" s="99"/>
      <c r="I21" s="99"/>
      <c r="J21" s="101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22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22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122"/>
      <c r="BD21" s="460"/>
      <c r="BE21" s="13"/>
    </row>
    <row r="22" spans="2:55" ht="11.25">
      <c r="B22" s="446" t="s">
        <v>244</v>
      </c>
      <c r="C22" s="497" t="s">
        <v>56</v>
      </c>
      <c r="D22" s="54"/>
      <c r="E22" s="76" t="s">
        <v>124</v>
      </c>
      <c r="F22" s="56" t="s">
        <v>124</v>
      </c>
      <c r="G22" s="6" t="s">
        <v>58</v>
      </c>
      <c r="H22" s="6"/>
      <c r="I22" s="6"/>
      <c r="J22" s="6"/>
      <c r="K22" s="6"/>
      <c r="L22" s="3"/>
      <c r="M22" s="38" t="s">
        <v>34</v>
      </c>
      <c r="N22" s="70"/>
      <c r="O22" s="26" t="s">
        <v>61</v>
      </c>
      <c r="P22" s="50"/>
      <c r="Q22" s="5" t="s">
        <v>25</v>
      </c>
      <c r="R22" s="4"/>
      <c r="S22" s="4"/>
      <c r="T22" s="6" t="s">
        <v>125</v>
      </c>
      <c r="U22" s="7"/>
      <c r="V22" s="54"/>
      <c r="W22" s="93"/>
      <c r="X22" s="14" t="s">
        <v>17</v>
      </c>
      <c r="Y22" s="16"/>
      <c r="Z22" s="161" t="s">
        <v>126</v>
      </c>
      <c r="AA22" s="42" t="s">
        <v>126</v>
      </c>
      <c r="AB22" s="15" t="s">
        <v>126</v>
      </c>
      <c r="AC22" s="15" t="s">
        <v>126</v>
      </c>
      <c r="AD22" s="40" t="s">
        <v>126</v>
      </c>
      <c r="AE22" s="42" t="s">
        <v>127</v>
      </c>
      <c r="AF22" s="42" t="s">
        <v>127</v>
      </c>
      <c r="AG22" s="42" t="s">
        <v>127</v>
      </c>
      <c r="AH22" s="42" t="s">
        <v>127</v>
      </c>
      <c r="AI22" s="17" t="s">
        <v>127</v>
      </c>
      <c r="AJ22" s="41" t="s">
        <v>127</v>
      </c>
      <c r="AK22" s="161" t="s">
        <v>128</v>
      </c>
      <c r="AL22" s="40" t="s">
        <v>129</v>
      </c>
      <c r="AM22" s="161" t="s">
        <v>8</v>
      </c>
      <c r="AN22" s="10"/>
      <c r="AO22" s="16"/>
      <c r="AP22" s="41" t="s">
        <v>50</v>
      </c>
      <c r="AQ22" s="40" t="s">
        <v>126</v>
      </c>
      <c r="AR22" s="42" t="s">
        <v>127</v>
      </c>
      <c r="AS22" s="42" t="s">
        <v>34</v>
      </c>
      <c r="AT22" s="17" t="s">
        <v>13</v>
      </c>
      <c r="AU22" s="40" t="s">
        <v>34</v>
      </c>
      <c r="AV22" s="10"/>
      <c r="AW22" s="13"/>
      <c r="AX22" s="17" t="s">
        <v>29</v>
      </c>
      <c r="AY22" s="42" t="s">
        <v>13</v>
      </c>
      <c r="AZ22" s="17"/>
      <c r="BA22" s="54"/>
      <c r="BB22" s="58" t="s">
        <v>7</v>
      </c>
      <c r="BC22" s="44" t="s">
        <v>8</v>
      </c>
    </row>
    <row r="23" spans="2:55" ht="11.25">
      <c r="B23" s="93"/>
      <c r="C23" s="498"/>
      <c r="D23" s="54"/>
      <c r="E23" s="76"/>
      <c r="F23" s="44"/>
      <c r="G23" s="64"/>
      <c r="H23" s="64"/>
      <c r="I23" s="64"/>
      <c r="J23" s="64"/>
      <c r="K23" s="64"/>
      <c r="L23" s="69"/>
      <c r="M23" s="14" t="s">
        <v>1</v>
      </c>
      <c r="N23" s="71"/>
      <c r="O23" s="72" t="s">
        <v>62</v>
      </c>
      <c r="P23" s="72" t="s">
        <v>63</v>
      </c>
      <c r="Q23" s="12" t="s">
        <v>26</v>
      </c>
      <c r="R23" s="11"/>
      <c r="S23" s="11"/>
      <c r="T23" s="14" t="s">
        <v>130</v>
      </c>
      <c r="U23" s="16"/>
      <c r="V23" s="41" t="s">
        <v>51</v>
      </c>
      <c r="W23" s="40" t="s">
        <v>52</v>
      </c>
      <c r="X23" s="14" t="s">
        <v>18</v>
      </c>
      <c r="Y23" s="17" t="s">
        <v>30</v>
      </c>
      <c r="Z23" s="161" t="s">
        <v>131</v>
      </c>
      <c r="AA23" s="42" t="s">
        <v>132</v>
      </c>
      <c r="AB23" s="15" t="s">
        <v>72</v>
      </c>
      <c r="AC23" s="15" t="s">
        <v>61</v>
      </c>
      <c r="AD23" s="40" t="s">
        <v>62</v>
      </c>
      <c r="AE23" s="42" t="s">
        <v>133</v>
      </c>
      <c r="AF23" s="42" t="s">
        <v>132</v>
      </c>
      <c r="AG23" s="42" t="s">
        <v>72</v>
      </c>
      <c r="AH23" s="42" t="s">
        <v>61</v>
      </c>
      <c r="AI23" s="17" t="s">
        <v>87</v>
      </c>
      <c r="AJ23" s="41" t="s">
        <v>62</v>
      </c>
      <c r="AK23" s="161" t="s">
        <v>131</v>
      </c>
      <c r="AL23" s="40" t="s">
        <v>131</v>
      </c>
      <c r="AM23" s="161" t="s">
        <v>67</v>
      </c>
      <c r="AN23" s="42" t="s">
        <v>14</v>
      </c>
      <c r="AO23" s="17" t="s">
        <v>36</v>
      </c>
      <c r="AP23" s="44" t="s">
        <v>37</v>
      </c>
      <c r="AQ23" s="40" t="s">
        <v>85</v>
      </c>
      <c r="AR23" s="42" t="s">
        <v>85</v>
      </c>
      <c r="AS23" s="15" t="s">
        <v>33</v>
      </c>
      <c r="AT23" s="41" t="s">
        <v>14</v>
      </c>
      <c r="AU23" s="41" t="s">
        <v>51</v>
      </c>
      <c r="AV23" s="15" t="s">
        <v>9</v>
      </c>
      <c r="AW23" s="14" t="s">
        <v>10</v>
      </c>
      <c r="AX23" s="17" t="s">
        <v>46</v>
      </c>
      <c r="AY23" s="42" t="s">
        <v>41</v>
      </c>
      <c r="AZ23" s="17" t="s">
        <v>42</v>
      </c>
      <c r="BA23" s="57" t="s">
        <v>134</v>
      </c>
      <c r="BB23" s="58" t="s">
        <v>39</v>
      </c>
      <c r="BC23" s="44" t="s">
        <v>39</v>
      </c>
    </row>
    <row r="24" spans="2:55" ht="11.25">
      <c r="B24" s="93"/>
      <c r="C24" s="498"/>
      <c r="D24" s="54"/>
      <c r="E24" s="76"/>
      <c r="F24" s="44"/>
      <c r="G24" s="73" t="s">
        <v>59</v>
      </c>
      <c r="H24" s="10" t="s">
        <v>56</v>
      </c>
      <c r="I24" s="15" t="s">
        <v>47</v>
      </c>
      <c r="J24" s="15" t="s">
        <v>0</v>
      </c>
      <c r="K24" s="15" t="s">
        <v>2</v>
      </c>
      <c r="L24" s="15" t="s">
        <v>3</v>
      </c>
      <c r="M24" s="14" t="s">
        <v>19</v>
      </c>
      <c r="N24" s="15" t="s">
        <v>4</v>
      </c>
      <c r="O24" s="15" t="s">
        <v>19</v>
      </c>
      <c r="P24" s="15" t="s">
        <v>56</v>
      </c>
      <c r="Q24" s="12" t="s">
        <v>16</v>
      </c>
      <c r="R24" s="15" t="s">
        <v>21</v>
      </c>
      <c r="S24" s="15" t="s">
        <v>48</v>
      </c>
      <c r="T24" s="14" t="s">
        <v>49</v>
      </c>
      <c r="U24" s="17" t="s">
        <v>5</v>
      </c>
      <c r="V24" s="41" t="s">
        <v>53</v>
      </c>
      <c r="W24" s="40" t="s">
        <v>135</v>
      </c>
      <c r="X24" s="14" t="s">
        <v>32</v>
      </c>
      <c r="Y24" s="17" t="s">
        <v>31</v>
      </c>
      <c r="Z24" s="161"/>
      <c r="AA24" s="42" t="s">
        <v>71</v>
      </c>
      <c r="AB24" s="15"/>
      <c r="AC24" s="15" t="s">
        <v>7</v>
      </c>
      <c r="AD24" s="40"/>
      <c r="AE24" s="42"/>
      <c r="AF24" s="42" t="s">
        <v>71</v>
      </c>
      <c r="AG24" s="42"/>
      <c r="AH24" s="42"/>
      <c r="AI24" s="17" t="s">
        <v>86</v>
      </c>
      <c r="AJ24" s="41"/>
      <c r="AK24" s="161"/>
      <c r="AL24" s="40"/>
      <c r="AM24" s="161" t="s">
        <v>27</v>
      </c>
      <c r="AN24" s="42"/>
      <c r="AO24" s="17"/>
      <c r="AP24" s="41" t="s">
        <v>54</v>
      </c>
      <c r="AQ24" s="40"/>
      <c r="AR24" s="42"/>
      <c r="AS24" s="11"/>
      <c r="AT24" s="16"/>
      <c r="AU24" s="54"/>
      <c r="AV24" s="10"/>
      <c r="AW24" s="11"/>
      <c r="AX24" s="16"/>
      <c r="AY24" s="10"/>
      <c r="AZ24" s="16"/>
      <c r="BA24" s="93"/>
      <c r="BB24" s="93"/>
      <c r="BC24" s="93"/>
    </row>
    <row r="25" spans="2:55" ht="12" thickBot="1">
      <c r="B25" s="381"/>
      <c r="C25" s="499" t="s">
        <v>246</v>
      </c>
      <c r="D25" s="54"/>
      <c r="E25" s="77"/>
      <c r="F25" s="62"/>
      <c r="G25" s="18" t="s">
        <v>60</v>
      </c>
      <c r="H25" s="18" t="s">
        <v>11</v>
      </c>
      <c r="I25" s="1" t="s">
        <v>43</v>
      </c>
      <c r="J25" s="1" t="s">
        <v>40</v>
      </c>
      <c r="K25" s="1" t="s">
        <v>40</v>
      </c>
      <c r="L25" s="1" t="s">
        <v>44</v>
      </c>
      <c r="M25" s="20" t="s">
        <v>40</v>
      </c>
      <c r="N25" s="1" t="s">
        <v>44</v>
      </c>
      <c r="O25" s="1" t="s">
        <v>40</v>
      </c>
      <c r="P25" s="1" t="s">
        <v>57</v>
      </c>
      <c r="Q25" s="19" t="s">
        <v>40</v>
      </c>
      <c r="R25" s="1" t="s">
        <v>12</v>
      </c>
      <c r="S25" s="1" t="s">
        <v>40</v>
      </c>
      <c r="T25" s="20" t="s">
        <v>35</v>
      </c>
      <c r="U25" s="21" t="s">
        <v>40</v>
      </c>
      <c r="V25" s="46" t="s">
        <v>45</v>
      </c>
      <c r="W25" s="284" t="s">
        <v>35</v>
      </c>
      <c r="X25" s="20" t="s">
        <v>24</v>
      </c>
      <c r="Y25" s="21" t="s">
        <v>22</v>
      </c>
      <c r="Z25" s="285" t="s">
        <v>31</v>
      </c>
      <c r="AA25" s="2" t="s">
        <v>31</v>
      </c>
      <c r="AB25" s="1" t="s">
        <v>31</v>
      </c>
      <c r="AC25" s="1" t="s">
        <v>31</v>
      </c>
      <c r="AD25" s="284" t="s">
        <v>31</v>
      </c>
      <c r="AE25" s="2" t="s">
        <v>11</v>
      </c>
      <c r="AF25" s="2" t="s">
        <v>11</v>
      </c>
      <c r="AG25" s="2" t="s">
        <v>11</v>
      </c>
      <c r="AH25" s="2" t="s">
        <v>11</v>
      </c>
      <c r="AI25" s="21" t="s">
        <v>11</v>
      </c>
      <c r="AJ25" s="46" t="s">
        <v>11</v>
      </c>
      <c r="AK25" s="285" t="s">
        <v>31</v>
      </c>
      <c r="AL25" s="284" t="s">
        <v>31</v>
      </c>
      <c r="AM25" s="286"/>
      <c r="AN25" s="2" t="s">
        <v>45</v>
      </c>
      <c r="AO25" s="21" t="s">
        <v>35</v>
      </c>
      <c r="AP25" s="49" t="s">
        <v>23</v>
      </c>
      <c r="AQ25" s="284" t="s">
        <v>31</v>
      </c>
      <c r="AR25" s="2" t="s">
        <v>11</v>
      </c>
      <c r="AS25" s="47" t="s">
        <v>38</v>
      </c>
      <c r="AT25" s="46" t="s">
        <v>45</v>
      </c>
      <c r="AU25" s="46" t="s">
        <v>45</v>
      </c>
      <c r="AV25" s="1" t="s">
        <v>40</v>
      </c>
      <c r="AW25" s="1" t="s">
        <v>40</v>
      </c>
      <c r="AX25" s="49" t="s">
        <v>38</v>
      </c>
      <c r="AY25" s="2" t="s">
        <v>40</v>
      </c>
      <c r="AZ25" s="21" t="s">
        <v>40</v>
      </c>
      <c r="BA25" s="49" t="s">
        <v>40</v>
      </c>
      <c r="BB25" s="61" t="s">
        <v>23</v>
      </c>
      <c r="BC25" s="62" t="s">
        <v>23</v>
      </c>
    </row>
    <row r="26" spans="2:55" ht="12" thickBot="1">
      <c r="B26" s="381">
        <v>2</v>
      </c>
      <c r="C26" s="511">
        <f>B26*R26*$H26/1000</f>
        <v>4.96</v>
      </c>
      <c r="D26" s="54"/>
      <c r="E26" s="184" t="s">
        <v>259</v>
      </c>
      <c r="F26" s="323" t="s">
        <v>260</v>
      </c>
      <c r="G26" s="467" t="s">
        <v>138</v>
      </c>
      <c r="H26" s="324">
        <v>62</v>
      </c>
      <c r="I26" s="325">
        <v>18.2</v>
      </c>
      <c r="J26" s="325">
        <v>23.6</v>
      </c>
      <c r="K26" s="326">
        <v>0.395</v>
      </c>
      <c r="L26" s="327">
        <v>50</v>
      </c>
      <c r="M26" s="99">
        <v>1.5</v>
      </c>
      <c r="N26" s="327">
        <v>4</v>
      </c>
      <c r="O26" s="325">
        <v>4</v>
      </c>
      <c r="P26" s="327">
        <v>115</v>
      </c>
      <c r="Q26" s="328">
        <v>46.5</v>
      </c>
      <c r="R26" s="325">
        <v>40</v>
      </c>
      <c r="S26" s="329">
        <f>MIN((R26/4)*12,Q26)</f>
        <v>46.5</v>
      </c>
      <c r="T26" s="330">
        <f>0.85*N26*(O26-M26)*S26</f>
        <v>395.25</v>
      </c>
      <c r="U26" s="331">
        <f>O26-M26</f>
        <v>2.5</v>
      </c>
      <c r="V26" s="332">
        <v>869.6</v>
      </c>
      <c r="W26" s="333">
        <f>0.6*L26*J26*K26</f>
        <v>279.66</v>
      </c>
      <c r="X26" s="99">
        <v>17.2</v>
      </c>
      <c r="Y26" s="334">
        <f>(T26/X26)*2</f>
        <v>45.9593023255814</v>
      </c>
      <c r="Z26" s="335">
        <v>540</v>
      </c>
      <c r="AA26" s="328">
        <v>4050</v>
      </c>
      <c r="AB26" s="336">
        <v>216</v>
      </c>
      <c r="AC26" s="328">
        <v>3915</v>
      </c>
      <c r="AD26" s="337">
        <f>SUM(Z26:AC26)</f>
        <v>8721</v>
      </c>
      <c r="AE26" s="338">
        <f>H26</f>
        <v>62</v>
      </c>
      <c r="AF26" s="339">
        <v>217.5</v>
      </c>
      <c r="AG26" s="339">
        <v>11.6</v>
      </c>
      <c r="AH26" s="339">
        <v>210.3</v>
      </c>
      <c r="AI26" s="340">
        <v>520</v>
      </c>
      <c r="AJ26" s="341">
        <f>SUM(AF26:AI26)</f>
        <v>959.4</v>
      </c>
      <c r="AK26" s="342">
        <v>15525</v>
      </c>
      <c r="AL26" s="342">
        <v>833.75</v>
      </c>
      <c r="AM26" s="329">
        <f>IF(0.25+(15/($F$7*R26*(Q26/12))^0.5)&gt;0.5,IF(0.25+(15/($F$7*R26*(Q26/12))^0.5)&gt;1,1,0.25+(15/($F$7*R26*(Q26/12))^0.5)),0.5)</f>
        <v>1</v>
      </c>
      <c r="AN26" s="329">
        <f>(1.2*(((AJ26*R26*R26)/8000)+((AD26*R26)/4000)))+(1.6*(((AL26*R26*R26)/8000)+((AK26*R26)/4000)))</f>
        <v>850.108</v>
      </c>
      <c r="AO26" s="334">
        <f>(1.2*((AJ26*R26*0.0005)+(AD26/2000)))+(1.6*((AL26*R26*0.0005)+(AK26/2000)))</f>
        <v>67.3582</v>
      </c>
      <c r="AP26" s="343" t="str">
        <f>IF(AND(V26&gt;AN26,W26&gt;AO26),"OK","NG")</f>
        <v>OK</v>
      </c>
      <c r="AQ26" s="344">
        <f>Z26+AB26+AC26</f>
        <v>4671</v>
      </c>
      <c r="AR26" s="345">
        <f>AE26+AG26+AH26</f>
        <v>283.9</v>
      </c>
      <c r="AS26" s="328">
        <v>1350</v>
      </c>
      <c r="AT26" s="346">
        <f>(AQ26*R26*R26)/8000</f>
        <v>934.2</v>
      </c>
      <c r="AU26" s="347"/>
      <c r="AV26" s="348">
        <v>2.75</v>
      </c>
      <c r="AW26" s="349">
        <f>O26-U26/2</f>
        <v>2.75</v>
      </c>
      <c r="AX26" s="350">
        <v>2660</v>
      </c>
      <c r="AY26" s="351">
        <f>(5*((AR26/12))*((R26*12)^4))/(384*29000000*AS26)+((AQ26*((R26*12)^3))/(48*29000000*AS26))</f>
        <v>0.6925829885057471</v>
      </c>
      <c r="AZ26" s="346">
        <f>(5*((AL26/12))*((R26*12)^4))/(384*29000000*AX26)+((AK26*((R26*12)^3))/(48*29000000*AX26))</f>
        <v>1.08625356494685</v>
      </c>
      <c r="BA26" s="352">
        <f>(R26/400)*12</f>
        <v>1.2000000000000002</v>
      </c>
      <c r="BB26" s="353" t="str">
        <f>IF(AY26&gt;BA26,"NG","OK")</f>
        <v>OK</v>
      </c>
      <c r="BC26" s="343" t="str">
        <f>IF(AZ26&gt;BA26,"NG","OK")</f>
        <v>OK</v>
      </c>
    </row>
    <row r="27" spans="2:56" ht="11.25">
      <c r="B27" s="166"/>
      <c r="C27" s="501"/>
      <c r="D27" s="13"/>
      <c r="E27" s="281"/>
      <c r="F27" s="281"/>
      <c r="G27" s="281"/>
      <c r="H27" s="281"/>
      <c r="I27" s="317"/>
      <c r="J27" s="317"/>
      <c r="K27" s="318"/>
      <c r="L27" s="13"/>
      <c r="M27" s="13"/>
      <c r="N27" s="13"/>
      <c r="O27" s="317"/>
      <c r="P27" s="13"/>
      <c r="Q27" s="319"/>
      <c r="R27" s="317"/>
      <c r="S27" s="168"/>
      <c r="T27" s="170"/>
      <c r="U27" s="169"/>
      <c r="V27" s="320" t="s">
        <v>140</v>
      </c>
      <c r="W27" s="172"/>
      <c r="X27" s="167"/>
      <c r="Y27" s="172"/>
      <c r="Z27" s="172"/>
      <c r="AA27" s="13"/>
      <c r="AB27" s="13"/>
      <c r="AC27" s="9"/>
      <c r="AD27" s="173"/>
      <c r="AE27" s="173"/>
      <c r="AF27" s="173"/>
      <c r="AG27" s="173"/>
      <c r="AH27" s="173"/>
      <c r="AI27" s="173"/>
      <c r="AJ27" s="173"/>
      <c r="AK27" s="173"/>
      <c r="AL27" s="173"/>
      <c r="AM27" s="317"/>
      <c r="AN27" s="168"/>
      <c r="AO27" s="172"/>
      <c r="AP27" s="166"/>
      <c r="AR27" s="172"/>
      <c r="AS27" s="172"/>
      <c r="AT27" s="172"/>
      <c r="AU27" s="172"/>
      <c r="AV27" s="172"/>
      <c r="AW27" s="317"/>
      <c r="AX27" s="13"/>
      <c r="AY27" s="321" t="s">
        <v>141</v>
      </c>
      <c r="AZ27" s="169"/>
      <c r="BA27" s="167"/>
      <c r="BB27" s="168"/>
      <c r="BC27" s="168"/>
      <c r="BD27" s="168"/>
    </row>
    <row r="28" spans="5:58" ht="12" thickBot="1">
      <c r="E28" s="276"/>
      <c r="F28" s="277" t="s">
        <v>120</v>
      </c>
      <c r="G28" s="278"/>
      <c r="H28" s="278"/>
      <c r="I28" s="279" t="s">
        <v>121</v>
      </c>
      <c r="J28" s="279"/>
      <c r="K28" s="280" t="s">
        <v>122</v>
      </c>
      <c r="L28" s="167"/>
      <c r="R28" s="241"/>
      <c r="U28" s="9"/>
      <c r="V28" s="9"/>
      <c r="AP28" s="13"/>
      <c r="BF28" s="13"/>
    </row>
    <row r="29" spans="5:21" ht="12" thickTop="1">
      <c r="E29" s="241"/>
      <c r="H29" s="8" t="s">
        <v>21</v>
      </c>
      <c r="J29" s="281"/>
      <c r="K29" s="167"/>
      <c r="L29" s="167"/>
      <c r="R29" s="241"/>
      <c r="U29" s="9"/>
    </row>
    <row r="30" spans="5:21" ht="11.25">
      <c r="E30" s="276"/>
      <c r="F30" s="8"/>
      <c r="J30" s="13"/>
      <c r="K30" s="10"/>
      <c r="L30" s="13"/>
      <c r="M30" s="13"/>
      <c r="N30" s="13"/>
      <c r="O30" s="13"/>
      <c r="P30" s="13"/>
      <c r="Q30" s="13"/>
      <c r="R30" s="13"/>
      <c r="S30" s="13"/>
      <c r="T30" s="13"/>
      <c r="U30" s="319"/>
    </row>
    <row r="31" spans="2:43" ht="12" thickBot="1">
      <c r="B31" s="36"/>
      <c r="E31" s="411"/>
      <c r="F31" s="411"/>
      <c r="G31" s="36"/>
      <c r="H31" s="36"/>
      <c r="I31" s="36"/>
      <c r="J31" s="408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2:61" s="174" customFormat="1" ht="12" thickBot="1">
      <c r="B32" s="138"/>
      <c r="C32" s="502"/>
      <c r="D32" s="175"/>
      <c r="E32" s="416" t="s">
        <v>189</v>
      </c>
      <c r="F32" s="417" t="s">
        <v>155</v>
      </c>
      <c r="G32" s="177"/>
      <c r="H32" s="177"/>
      <c r="I32" s="177"/>
      <c r="J32" s="177"/>
      <c r="K32" s="389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415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Q32" s="415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413"/>
      <c r="BG32" s="488"/>
      <c r="BH32" s="167"/>
      <c r="BI32" s="167"/>
    </row>
    <row r="33" spans="2:61" ht="11.25">
      <c r="B33" s="446" t="s">
        <v>244</v>
      </c>
      <c r="C33" s="497" t="s">
        <v>56</v>
      </c>
      <c r="D33" s="54"/>
      <c r="E33" s="76" t="s">
        <v>124</v>
      </c>
      <c r="F33" s="56" t="s">
        <v>124</v>
      </c>
      <c r="G33" s="6" t="s">
        <v>58</v>
      </c>
      <c r="H33" s="6"/>
      <c r="I33" s="188"/>
      <c r="J33" s="6"/>
      <c r="K33" s="6"/>
      <c r="L33" s="6"/>
      <c r="M33" s="6"/>
      <c r="N33" s="6"/>
      <c r="O33" s="6"/>
      <c r="P33" s="3"/>
      <c r="Q33" s="38" t="s">
        <v>34</v>
      </c>
      <c r="R33" s="70"/>
      <c r="S33" s="26" t="s">
        <v>61</v>
      </c>
      <c r="T33" s="50"/>
      <c r="U33" s="5" t="s">
        <v>25</v>
      </c>
      <c r="V33" s="4"/>
      <c r="W33" s="4"/>
      <c r="X33" s="14" t="s">
        <v>49</v>
      </c>
      <c r="Y33" s="7"/>
      <c r="Z33" s="37"/>
      <c r="AA33" s="163" t="s">
        <v>96</v>
      </c>
      <c r="AB33" s="159"/>
      <c r="AC33" s="38" t="s">
        <v>17</v>
      </c>
      <c r="AD33" s="4"/>
      <c r="AE33" s="15" t="s">
        <v>7</v>
      </c>
      <c r="AF33" s="15" t="s">
        <v>7</v>
      </c>
      <c r="AG33" s="259" t="s">
        <v>7</v>
      </c>
      <c r="AH33" s="14" t="s">
        <v>7</v>
      </c>
      <c r="AI33" s="15" t="s">
        <v>7</v>
      </c>
      <c r="AJ33" s="45" t="s">
        <v>8</v>
      </c>
      <c r="AK33" s="98" t="s">
        <v>8</v>
      </c>
      <c r="AL33" s="43" t="s">
        <v>8</v>
      </c>
      <c r="AM33" s="43" t="s">
        <v>97</v>
      </c>
      <c r="AN33" s="12" t="s">
        <v>98</v>
      </c>
      <c r="AO33" s="3"/>
      <c r="AP33" s="7"/>
      <c r="AQ33" s="39" t="s">
        <v>50</v>
      </c>
      <c r="AR33" s="42" t="s">
        <v>7</v>
      </c>
      <c r="AS33" s="14" t="s">
        <v>7</v>
      </c>
      <c r="AT33" s="15" t="s">
        <v>8</v>
      </c>
      <c r="AU33" s="15" t="s">
        <v>8</v>
      </c>
      <c r="AV33" s="42" t="s">
        <v>34</v>
      </c>
      <c r="AW33" s="41" t="s">
        <v>14</v>
      </c>
      <c r="AX33" s="41" t="s">
        <v>51</v>
      </c>
      <c r="AY33" s="15" t="s">
        <v>9</v>
      </c>
      <c r="AZ33" s="15" t="s">
        <v>10</v>
      </c>
      <c r="BA33" s="17" t="s">
        <v>29</v>
      </c>
      <c r="BB33" s="42" t="s">
        <v>41</v>
      </c>
      <c r="BC33" s="41" t="s">
        <v>42</v>
      </c>
      <c r="BD33" s="57" t="s">
        <v>99</v>
      </c>
      <c r="BE33" s="55" t="s">
        <v>7</v>
      </c>
      <c r="BF33" s="56" t="s">
        <v>8</v>
      </c>
      <c r="BG33" s="460"/>
      <c r="BH33" s="13"/>
      <c r="BI33" s="13"/>
    </row>
    <row r="34" spans="2:61" ht="11.25">
      <c r="B34" s="93"/>
      <c r="C34" s="498"/>
      <c r="D34" s="54"/>
      <c r="E34" s="76"/>
      <c r="F34" s="44"/>
      <c r="G34" s="64"/>
      <c r="H34" s="64"/>
      <c r="I34" s="65"/>
      <c r="J34" s="64"/>
      <c r="K34" s="64"/>
      <c r="L34" s="64"/>
      <c r="M34" s="64"/>
      <c r="N34" s="64"/>
      <c r="O34" s="64"/>
      <c r="P34" s="69"/>
      <c r="Q34" s="14" t="s">
        <v>1</v>
      </c>
      <c r="R34" s="71"/>
      <c r="S34" s="72" t="s">
        <v>62</v>
      </c>
      <c r="T34" s="72" t="s">
        <v>63</v>
      </c>
      <c r="U34" s="12" t="s">
        <v>26</v>
      </c>
      <c r="V34" s="11"/>
      <c r="W34" s="11"/>
      <c r="Y34" s="16"/>
      <c r="Z34" s="41" t="s">
        <v>51</v>
      </c>
      <c r="AA34" s="160" t="s">
        <v>74</v>
      </c>
      <c r="AB34" s="41" t="s">
        <v>52</v>
      </c>
      <c r="AC34" s="14" t="s">
        <v>18</v>
      </c>
      <c r="AD34" s="15" t="s">
        <v>30</v>
      </c>
      <c r="AE34" s="15" t="s">
        <v>70</v>
      </c>
      <c r="AF34" s="15" t="s">
        <v>34</v>
      </c>
      <c r="AG34" s="15" t="s">
        <v>61</v>
      </c>
      <c r="AH34" s="98" t="s">
        <v>87</v>
      </c>
      <c r="AI34" s="15" t="s">
        <v>62</v>
      </c>
      <c r="AJ34" s="10"/>
      <c r="AK34" s="98" t="s">
        <v>67</v>
      </c>
      <c r="AL34" s="43" t="s">
        <v>81</v>
      </c>
      <c r="AM34" s="43" t="s">
        <v>15</v>
      </c>
      <c r="AN34" s="12"/>
      <c r="AO34" s="42" t="s">
        <v>14</v>
      </c>
      <c r="AP34" s="17" t="s">
        <v>36</v>
      </c>
      <c r="AQ34" s="44" t="s">
        <v>37</v>
      </c>
      <c r="AR34" s="42" t="s">
        <v>85</v>
      </c>
      <c r="AS34" s="13"/>
      <c r="AT34" s="11"/>
      <c r="AU34" s="11"/>
      <c r="AV34" s="42" t="s">
        <v>33</v>
      </c>
      <c r="AW34" s="17" t="s">
        <v>85</v>
      </c>
      <c r="AX34" s="40" t="s">
        <v>34</v>
      </c>
      <c r="AY34" s="10"/>
      <c r="AZ34" s="13"/>
      <c r="BA34" s="17" t="s">
        <v>46</v>
      </c>
      <c r="BB34" s="42" t="s">
        <v>13</v>
      </c>
      <c r="BC34" s="41"/>
      <c r="BD34" s="54"/>
      <c r="BE34" s="58" t="s">
        <v>39</v>
      </c>
      <c r="BF34" s="44" t="s">
        <v>39</v>
      </c>
      <c r="BH34" s="13"/>
      <c r="BI34" s="13"/>
    </row>
    <row r="35" spans="2:61" ht="11.25">
      <c r="B35" s="93"/>
      <c r="C35" s="498"/>
      <c r="D35" s="54"/>
      <c r="E35" s="76"/>
      <c r="F35" s="44"/>
      <c r="G35" s="73" t="s">
        <v>59</v>
      </c>
      <c r="H35" s="10" t="s">
        <v>56</v>
      </c>
      <c r="I35" s="269" t="s">
        <v>88</v>
      </c>
      <c r="J35" s="15" t="s">
        <v>47</v>
      </c>
      <c r="K35" s="15" t="s">
        <v>0</v>
      </c>
      <c r="L35" s="15" t="s">
        <v>2</v>
      </c>
      <c r="M35" s="15" t="s">
        <v>90</v>
      </c>
      <c r="N35" s="15" t="s">
        <v>91</v>
      </c>
      <c r="O35" s="15" t="s">
        <v>95</v>
      </c>
      <c r="P35" s="15" t="s">
        <v>3</v>
      </c>
      <c r="Q35" s="14" t="s">
        <v>19</v>
      </c>
      <c r="R35" s="15" t="s">
        <v>4</v>
      </c>
      <c r="S35" s="15" t="s">
        <v>19</v>
      </c>
      <c r="T35" s="15" t="s">
        <v>56</v>
      </c>
      <c r="U35" s="12" t="s">
        <v>16</v>
      </c>
      <c r="V35" s="15" t="s">
        <v>21</v>
      </c>
      <c r="W35" s="15" t="s">
        <v>48</v>
      </c>
      <c r="X35" s="14" t="s">
        <v>6</v>
      </c>
      <c r="Y35" s="17" t="s">
        <v>5</v>
      </c>
      <c r="Z35" s="41" t="s">
        <v>53</v>
      </c>
      <c r="AA35" s="161"/>
      <c r="AB35" s="41"/>
      <c r="AC35" s="14" t="s">
        <v>32</v>
      </c>
      <c r="AD35" s="15" t="s">
        <v>31</v>
      </c>
      <c r="AE35" s="15" t="s">
        <v>71</v>
      </c>
      <c r="AF35" s="15" t="s">
        <v>72</v>
      </c>
      <c r="AG35" s="15"/>
      <c r="AH35" s="98" t="s">
        <v>86</v>
      </c>
      <c r="AI35" s="15"/>
      <c r="AJ35" s="11"/>
      <c r="AK35" s="98" t="s">
        <v>27</v>
      </c>
      <c r="AL35" s="43" t="s">
        <v>82</v>
      </c>
      <c r="AM35" s="15" t="s">
        <v>83</v>
      </c>
      <c r="AN35" s="42" t="s">
        <v>83</v>
      </c>
      <c r="AO35" s="42"/>
      <c r="AP35" s="17"/>
      <c r="AQ35" s="41" t="s">
        <v>54</v>
      </c>
      <c r="AR35" s="134"/>
      <c r="AS35" s="11"/>
      <c r="AT35" s="11"/>
      <c r="AU35" s="11"/>
      <c r="AV35" s="11"/>
      <c r="AW35" s="16"/>
      <c r="AX35" s="40" t="s">
        <v>84</v>
      </c>
      <c r="AY35" s="10"/>
      <c r="AZ35" s="11"/>
      <c r="BA35" s="54"/>
      <c r="BB35" s="10"/>
      <c r="BC35" s="16"/>
      <c r="BD35" s="93"/>
      <c r="BE35" s="93"/>
      <c r="BF35" s="93"/>
      <c r="BH35" s="13"/>
      <c r="BI35" s="13"/>
    </row>
    <row r="36" spans="2:61" ht="12" thickBot="1">
      <c r="B36" s="381"/>
      <c r="C36" s="499" t="s">
        <v>246</v>
      </c>
      <c r="D36" s="54"/>
      <c r="E36" s="77"/>
      <c r="F36" s="62"/>
      <c r="G36" s="18" t="s">
        <v>60</v>
      </c>
      <c r="H36" s="18" t="s">
        <v>11</v>
      </c>
      <c r="I36" s="270"/>
      <c r="J36" s="1" t="s">
        <v>43</v>
      </c>
      <c r="K36" s="1" t="s">
        <v>40</v>
      </c>
      <c r="L36" s="1" t="s">
        <v>40</v>
      </c>
      <c r="M36" s="1"/>
      <c r="N36" s="1"/>
      <c r="O36" s="1"/>
      <c r="P36" s="1" t="s">
        <v>44</v>
      </c>
      <c r="Q36" s="20" t="s">
        <v>40</v>
      </c>
      <c r="R36" s="1" t="s">
        <v>44</v>
      </c>
      <c r="S36" s="1" t="s">
        <v>40</v>
      </c>
      <c r="T36" s="1" t="s">
        <v>57</v>
      </c>
      <c r="U36" s="19" t="s">
        <v>40</v>
      </c>
      <c r="V36" s="1" t="s">
        <v>12</v>
      </c>
      <c r="W36" s="1" t="s">
        <v>40</v>
      </c>
      <c r="X36" s="20" t="s">
        <v>35</v>
      </c>
      <c r="Y36" s="21" t="s">
        <v>40</v>
      </c>
      <c r="Z36" s="46" t="s">
        <v>45</v>
      </c>
      <c r="AA36" s="285"/>
      <c r="AB36" s="46" t="s">
        <v>35</v>
      </c>
      <c r="AC36" s="20" t="s">
        <v>24</v>
      </c>
      <c r="AD36" s="1" t="s">
        <v>22</v>
      </c>
      <c r="AE36" s="1" t="s">
        <v>28</v>
      </c>
      <c r="AF36" s="1" t="s">
        <v>28</v>
      </c>
      <c r="AG36" s="2" t="s">
        <v>28</v>
      </c>
      <c r="AH36" s="2" t="s">
        <v>11</v>
      </c>
      <c r="AI36" s="1" t="s">
        <v>11</v>
      </c>
      <c r="AJ36" s="47" t="s">
        <v>28</v>
      </c>
      <c r="AK36" s="286"/>
      <c r="AL36" s="48" t="s">
        <v>11</v>
      </c>
      <c r="AM36" s="354" t="s">
        <v>11</v>
      </c>
      <c r="AN36" s="309" t="s">
        <v>11</v>
      </c>
      <c r="AO36" s="2" t="s">
        <v>45</v>
      </c>
      <c r="AP36" s="21" t="s">
        <v>35</v>
      </c>
      <c r="AQ36" s="49" t="s">
        <v>23</v>
      </c>
      <c r="AR36" s="135" t="s">
        <v>11</v>
      </c>
      <c r="AS36" s="59" t="s">
        <v>20</v>
      </c>
      <c r="AT36" s="60" t="s">
        <v>11</v>
      </c>
      <c r="AU36" s="60" t="s">
        <v>20</v>
      </c>
      <c r="AV36" s="47" t="s">
        <v>38</v>
      </c>
      <c r="AW36" s="46" t="s">
        <v>45</v>
      </c>
      <c r="AX36" s="46" t="s">
        <v>45</v>
      </c>
      <c r="AY36" s="1" t="s">
        <v>40</v>
      </c>
      <c r="AZ36" s="1" t="s">
        <v>40</v>
      </c>
      <c r="BA36" s="49" t="s">
        <v>38</v>
      </c>
      <c r="BB36" s="2" t="s">
        <v>40</v>
      </c>
      <c r="BC36" s="46" t="s">
        <v>40</v>
      </c>
      <c r="BD36" s="136" t="s">
        <v>40</v>
      </c>
      <c r="BE36" s="61" t="s">
        <v>23</v>
      </c>
      <c r="BF36" s="61" t="s">
        <v>23</v>
      </c>
      <c r="BH36" s="13"/>
      <c r="BI36" s="13"/>
    </row>
    <row r="37" spans="2:61" ht="11.25">
      <c r="B37" s="118">
        <v>1</v>
      </c>
      <c r="C37" s="503">
        <f>B37*V37*$H37/1000</f>
        <v>1.1</v>
      </c>
      <c r="D37" s="54"/>
      <c r="E37" s="355" t="s">
        <v>184</v>
      </c>
      <c r="F37" s="178" t="s">
        <v>185</v>
      </c>
      <c r="G37" s="179" t="s">
        <v>158</v>
      </c>
      <c r="H37" s="179">
        <v>40</v>
      </c>
      <c r="I37" s="272"/>
      <c r="J37" s="80">
        <v>11.8</v>
      </c>
      <c r="K37" s="80">
        <v>17.9</v>
      </c>
      <c r="L37" s="296">
        <v>0.315</v>
      </c>
      <c r="M37" s="32"/>
      <c r="N37" s="32"/>
      <c r="O37" s="358" t="str">
        <f aca="true" t="shared" si="0" ref="O37:O44">IF(M37&lt;1.1*((N37*29000)/P37)^0.5,1,"NO")</f>
        <v>NO</v>
      </c>
      <c r="P37" s="71">
        <v>50</v>
      </c>
      <c r="Q37" s="359">
        <v>1.5</v>
      </c>
      <c r="R37" s="71">
        <v>4</v>
      </c>
      <c r="S37" s="207">
        <v>4</v>
      </c>
      <c r="T37" s="71">
        <v>115</v>
      </c>
      <c r="U37" s="31">
        <v>282</v>
      </c>
      <c r="V37" s="29">
        <v>27.5</v>
      </c>
      <c r="W37" s="30">
        <f aca="true" t="shared" si="1" ref="W37:W44">MIN((V37/4)*12,U37)</f>
        <v>82.5</v>
      </c>
      <c r="X37" s="361">
        <f aca="true" t="shared" si="2" ref="X37:X44">J37*P37</f>
        <v>590</v>
      </c>
      <c r="Y37" s="147">
        <f aca="true" t="shared" si="3" ref="Y37:Y44">(J37*P37)/(0.85*R37*W37)</f>
        <v>2.1033868092691623</v>
      </c>
      <c r="Z37" s="211">
        <f aca="true" t="shared" si="4" ref="Z37:Z44">(0.9*((J37*P37*(K37/2))+(0.85*R37*Y37*W37*(S37-(Y37/2)))))/12</f>
        <v>526.5000668449198</v>
      </c>
      <c r="AA37" s="132">
        <f aca="true" t="shared" si="5" ref="AA37:AA44">IF(I37="v",0.9,1)</f>
        <v>1</v>
      </c>
      <c r="AB37" s="86">
        <f aca="true" t="shared" si="6" ref="AB37:AB44">IF(O37="NO",AA37*0.6*P37*K37*L37,AA37*0.6*P37*K37*L37*O37)</f>
        <v>169.155</v>
      </c>
      <c r="AC37" s="64">
        <v>17.2</v>
      </c>
      <c r="AD37" s="85">
        <f aca="true" t="shared" si="7" ref="AD37:AD44">(X37/AC37)*2</f>
        <v>68.6046511627907</v>
      </c>
      <c r="AE37" s="297">
        <v>30</v>
      </c>
      <c r="AF37" s="297">
        <v>1.6</v>
      </c>
      <c r="AG37" s="81">
        <v>29</v>
      </c>
      <c r="AH37" s="182">
        <v>0</v>
      </c>
      <c r="AI37" s="253">
        <f aca="true" t="shared" si="8" ref="AI37:AI44">((AE37+AG37+AF37)*(U37/12))+H37+AH37</f>
        <v>1464.1000000000001</v>
      </c>
      <c r="AJ37" s="31">
        <v>115</v>
      </c>
      <c r="AK37" s="82">
        <f aca="true" t="shared" si="9" ref="AK37:AK44">IF(0.25+(15/($F$7*V37*(U37/12))^0.5)&gt;0.5,IF(0.25+(15/($F$7*V37*(U37/12))^0.5)&gt;1,1,0.25+(15/($F$7*V37*(U37/12))^0.5)),0.5)</f>
        <v>0.6672304374216065</v>
      </c>
      <c r="AL37" s="85">
        <f aca="true" t="shared" si="10" ref="AL37:AL44">(AJ37*AK37)*(U37/12)</f>
        <v>1803.1902571318917</v>
      </c>
      <c r="AM37" s="85">
        <f aca="true" t="shared" si="11" ref="AM37:AM44">(1.2*AI37)+(1.6*AL37)</f>
        <v>4642.024411411026</v>
      </c>
      <c r="AN37" s="85">
        <f aca="true" t="shared" si="12" ref="AN37:AN44">1.4*AI37</f>
        <v>2049.7400000000002</v>
      </c>
      <c r="AO37" s="82">
        <f aca="true" t="shared" si="13" ref="AO37:AO44">MAX((AN37*V37*V37)/8000,(AM37*V37*V37)/8000)</f>
        <v>438.81637014119855</v>
      </c>
      <c r="AP37" s="128">
        <f aca="true" t="shared" si="14" ref="AP37:AP44">MAX(AN37*V37/2000,AM37*V37/2000)</f>
        <v>63.82783565690161</v>
      </c>
      <c r="AQ37" s="91" t="str">
        <f aca="true" t="shared" si="15" ref="AQ37:AQ44">IF(AND(Z37&gt;AO37,AB37&gt;AP37),"OK","NG")</f>
        <v>OK</v>
      </c>
      <c r="AR37" s="120">
        <f aca="true" t="shared" si="16" ref="AR37:AR44">((AF37+AG37)*(U37/12))+H37</f>
        <v>759.1</v>
      </c>
      <c r="AS37" s="255">
        <f aca="true" t="shared" si="17" ref="AS37:AS44">AR37/12</f>
        <v>63.25833333333333</v>
      </c>
      <c r="AT37" s="52">
        <f aca="true" t="shared" si="18" ref="AT37:AT44">AJ37*(U37/12)</f>
        <v>2702.5</v>
      </c>
      <c r="AU37" s="52">
        <f aca="true" t="shared" si="19" ref="AU37:AU44">AT37/12</f>
        <v>225.20833333333334</v>
      </c>
      <c r="AV37" s="81">
        <v>612</v>
      </c>
      <c r="AW37" s="63">
        <f aca="true" t="shared" si="20" ref="AW37:AW44">(AR37*V37*V37)/8000</f>
        <v>71.758671875</v>
      </c>
      <c r="AX37" s="119"/>
      <c r="AY37" s="125">
        <v>0</v>
      </c>
      <c r="AZ37" s="256">
        <f aca="true" t="shared" si="21" ref="AZ37:AZ44">S37-Y37/2</f>
        <v>2.948306595365419</v>
      </c>
      <c r="BA37" s="87">
        <v>1448</v>
      </c>
      <c r="BB37" s="257">
        <f aca="true" t="shared" si="22" ref="BB37:BB44">(5*(AS37)*((V37*12)^4))/(384*29000000*AV37)</f>
        <v>0.5503802799743281</v>
      </c>
      <c r="BC37" s="63">
        <f aca="true" t="shared" si="23" ref="BC37:BC44">(5*(AU37)*((V37*12)^4))/(384*29000000*BA37)</f>
        <v>0.828156540838508</v>
      </c>
      <c r="BD37" s="130">
        <f aca="true" t="shared" si="24" ref="BD37:BD44">(V37/360)*12</f>
        <v>0.9166666666666667</v>
      </c>
      <c r="BE37" s="91" t="str">
        <f aca="true" t="shared" si="25" ref="BE37:BE44">IF(BB37&gt;BD37,"NG","OK")</f>
        <v>OK</v>
      </c>
      <c r="BF37" s="91" t="str">
        <f aca="true" t="shared" si="26" ref="BF37:BF44">IF(BC37&gt;BD37,"NG","OK")</f>
        <v>OK</v>
      </c>
      <c r="BG37" s="460"/>
      <c r="BH37" s="13"/>
      <c r="BI37" s="13"/>
    </row>
    <row r="38" spans="2:61" ht="12" thickBot="1">
      <c r="B38" s="165">
        <v>1</v>
      </c>
      <c r="C38" s="507">
        <f aca="true" t="shared" si="27" ref="C38:C44">B38*V38*$H38/1000</f>
        <v>1.1</v>
      </c>
      <c r="D38" s="54"/>
      <c r="E38" s="268" t="s">
        <v>185</v>
      </c>
      <c r="F38" s="304" t="s">
        <v>161</v>
      </c>
      <c r="G38" s="218" t="s">
        <v>158</v>
      </c>
      <c r="H38" s="218">
        <v>40</v>
      </c>
      <c r="I38" s="273"/>
      <c r="J38" s="100">
        <v>11.8</v>
      </c>
      <c r="K38" s="100">
        <v>17.9</v>
      </c>
      <c r="L38" s="116">
        <v>0.315</v>
      </c>
      <c r="M38" s="116"/>
      <c r="N38" s="116"/>
      <c r="O38" s="158" t="str">
        <f t="shared" si="0"/>
        <v>NO</v>
      </c>
      <c r="P38" s="109">
        <v>50</v>
      </c>
      <c r="Q38" s="95">
        <v>1.5</v>
      </c>
      <c r="R38" s="109">
        <v>4</v>
      </c>
      <c r="S38" s="100">
        <v>4</v>
      </c>
      <c r="T38" s="109">
        <v>115</v>
      </c>
      <c r="U38" s="108">
        <v>282</v>
      </c>
      <c r="V38" s="100">
        <v>27.5</v>
      </c>
      <c r="W38" s="107">
        <f t="shared" si="1"/>
        <v>82.5</v>
      </c>
      <c r="X38" s="105">
        <f t="shared" si="2"/>
        <v>590</v>
      </c>
      <c r="Y38" s="117">
        <f t="shared" si="3"/>
        <v>2.1033868092691623</v>
      </c>
      <c r="Z38" s="113">
        <f t="shared" si="4"/>
        <v>526.5000668449198</v>
      </c>
      <c r="AA38" s="164">
        <f t="shared" si="5"/>
        <v>1</v>
      </c>
      <c r="AB38" s="129">
        <f t="shared" si="6"/>
        <v>169.155</v>
      </c>
      <c r="AC38" s="95">
        <v>17.2</v>
      </c>
      <c r="AD38" s="106">
        <f t="shared" si="7"/>
        <v>68.6046511627907</v>
      </c>
      <c r="AE38" s="109">
        <v>30</v>
      </c>
      <c r="AF38" s="109">
        <v>1.6</v>
      </c>
      <c r="AG38" s="108">
        <v>29</v>
      </c>
      <c r="AH38" s="108">
        <v>0</v>
      </c>
      <c r="AI38" s="133">
        <f t="shared" si="8"/>
        <v>1464.1000000000001</v>
      </c>
      <c r="AJ38" s="183">
        <v>115</v>
      </c>
      <c r="AK38" s="107">
        <f t="shared" si="9"/>
        <v>0.6672304374216065</v>
      </c>
      <c r="AL38" s="106">
        <f t="shared" si="10"/>
        <v>1803.1902571318917</v>
      </c>
      <c r="AM38" s="106">
        <f t="shared" si="11"/>
        <v>4642.024411411026</v>
      </c>
      <c r="AN38" s="106">
        <f t="shared" si="12"/>
        <v>2049.7400000000002</v>
      </c>
      <c r="AO38" s="107">
        <f t="shared" si="13"/>
        <v>438.81637014119855</v>
      </c>
      <c r="AP38" s="129">
        <f t="shared" si="14"/>
        <v>63.82783565690161</v>
      </c>
      <c r="AQ38" s="92" t="str">
        <f t="shared" si="15"/>
        <v>OK</v>
      </c>
      <c r="AR38" s="104">
        <f t="shared" si="16"/>
        <v>759.1</v>
      </c>
      <c r="AS38" s="312">
        <f t="shared" si="17"/>
        <v>63.25833333333333</v>
      </c>
      <c r="AT38" s="106">
        <f t="shared" si="18"/>
        <v>2702.5</v>
      </c>
      <c r="AU38" s="106">
        <f t="shared" si="19"/>
        <v>225.20833333333334</v>
      </c>
      <c r="AV38" s="108">
        <v>612</v>
      </c>
      <c r="AW38" s="111">
        <f t="shared" si="20"/>
        <v>71.758671875</v>
      </c>
      <c r="AX38" s="165"/>
      <c r="AY38" s="127">
        <v>0</v>
      </c>
      <c r="AZ38" s="313">
        <f t="shared" si="21"/>
        <v>2.948306595365419</v>
      </c>
      <c r="BA38" s="110">
        <v>1448</v>
      </c>
      <c r="BB38" s="314">
        <f t="shared" si="22"/>
        <v>0.5503802799743281</v>
      </c>
      <c r="BC38" s="111">
        <f t="shared" si="23"/>
        <v>0.828156540838508</v>
      </c>
      <c r="BD38" s="113">
        <f t="shared" si="24"/>
        <v>0.9166666666666667</v>
      </c>
      <c r="BE38" s="92" t="str">
        <f t="shared" si="25"/>
        <v>OK</v>
      </c>
      <c r="BF38" s="92" t="str">
        <f t="shared" si="26"/>
        <v>OK</v>
      </c>
      <c r="BG38" s="460"/>
      <c r="BH38" s="13"/>
      <c r="BI38" s="13"/>
    </row>
    <row r="39" spans="2:61" ht="12" thickBot="1">
      <c r="B39" s="347">
        <v>1</v>
      </c>
      <c r="C39" s="503">
        <f t="shared" si="27"/>
        <v>1.5</v>
      </c>
      <c r="D39" s="54"/>
      <c r="E39" s="184" t="s">
        <v>164</v>
      </c>
      <c r="F39" s="219" t="s">
        <v>165</v>
      </c>
      <c r="G39" s="233" t="s">
        <v>158</v>
      </c>
      <c r="H39" s="233">
        <v>50</v>
      </c>
      <c r="I39" s="394"/>
      <c r="J39" s="325">
        <v>14.7</v>
      </c>
      <c r="K39" s="325">
        <v>18</v>
      </c>
      <c r="L39" s="326">
        <v>0.355</v>
      </c>
      <c r="M39" s="100"/>
      <c r="N39" s="156"/>
      <c r="O39" s="373" t="str">
        <f t="shared" si="0"/>
        <v>NO</v>
      </c>
      <c r="P39" s="286">
        <v>50</v>
      </c>
      <c r="Q39" s="36">
        <v>1.5</v>
      </c>
      <c r="R39" s="286">
        <v>4</v>
      </c>
      <c r="S39" s="306">
        <v>4</v>
      </c>
      <c r="T39" s="286">
        <v>115</v>
      </c>
      <c r="U39" s="336">
        <v>282</v>
      </c>
      <c r="V39" s="325">
        <v>30</v>
      </c>
      <c r="W39" s="329">
        <f t="shared" si="1"/>
        <v>90</v>
      </c>
      <c r="X39" s="149">
        <f t="shared" si="2"/>
        <v>735</v>
      </c>
      <c r="Y39" s="150">
        <f t="shared" si="3"/>
        <v>2.4019607843137254</v>
      </c>
      <c r="Z39" s="374">
        <f t="shared" si="4"/>
        <v>650.420955882353</v>
      </c>
      <c r="AA39" s="375">
        <f t="shared" si="5"/>
        <v>1</v>
      </c>
      <c r="AB39" s="308">
        <f t="shared" si="6"/>
        <v>191.7</v>
      </c>
      <c r="AC39" s="36">
        <v>17.2</v>
      </c>
      <c r="AD39" s="376">
        <f t="shared" si="7"/>
        <v>85.46511627906978</v>
      </c>
      <c r="AE39" s="286">
        <v>30</v>
      </c>
      <c r="AF39" s="286">
        <v>1.6</v>
      </c>
      <c r="AG39" s="35">
        <v>29</v>
      </c>
      <c r="AH39" s="35">
        <v>0</v>
      </c>
      <c r="AI39" s="377">
        <f t="shared" si="8"/>
        <v>1474.1000000000001</v>
      </c>
      <c r="AJ39" s="366">
        <v>115</v>
      </c>
      <c r="AK39" s="148">
        <f t="shared" si="9"/>
        <v>0.6494677309684806</v>
      </c>
      <c r="AL39" s="376">
        <f t="shared" si="10"/>
        <v>1755.186542942319</v>
      </c>
      <c r="AM39" s="376">
        <f t="shared" si="11"/>
        <v>4577.218468707711</v>
      </c>
      <c r="AN39" s="376">
        <f t="shared" si="12"/>
        <v>2063.7400000000002</v>
      </c>
      <c r="AO39" s="148">
        <f t="shared" si="13"/>
        <v>514.9370777296175</v>
      </c>
      <c r="AP39" s="308">
        <f t="shared" si="14"/>
        <v>68.65827703061566</v>
      </c>
      <c r="AQ39" s="311" t="str">
        <f t="shared" si="15"/>
        <v>OK</v>
      </c>
      <c r="AR39" s="378">
        <f t="shared" si="16"/>
        <v>769.1</v>
      </c>
      <c r="AS39" s="379">
        <f t="shared" si="17"/>
        <v>64.09166666666667</v>
      </c>
      <c r="AT39" s="376">
        <f t="shared" si="18"/>
        <v>2702.5</v>
      </c>
      <c r="AU39" s="376">
        <f t="shared" si="19"/>
        <v>225.20833333333334</v>
      </c>
      <c r="AV39" s="336">
        <v>800</v>
      </c>
      <c r="AW39" s="346">
        <f t="shared" si="20"/>
        <v>86.52375</v>
      </c>
      <c r="AX39" s="347"/>
      <c r="AY39" s="348">
        <v>0</v>
      </c>
      <c r="AZ39" s="349">
        <f t="shared" si="21"/>
        <v>2.799019607843137</v>
      </c>
      <c r="BA39" s="350">
        <v>1818</v>
      </c>
      <c r="BB39" s="310">
        <f t="shared" si="22"/>
        <v>0.6041744612068967</v>
      </c>
      <c r="BC39" s="380">
        <f t="shared" si="23"/>
        <v>0.9342032263571185</v>
      </c>
      <c r="BD39" s="384">
        <f t="shared" si="24"/>
        <v>1</v>
      </c>
      <c r="BE39" s="385" t="str">
        <f t="shared" si="25"/>
        <v>OK</v>
      </c>
      <c r="BF39" s="385" t="str">
        <f t="shared" si="26"/>
        <v>OK</v>
      </c>
      <c r="BH39" s="13"/>
      <c r="BI39" s="13"/>
    </row>
    <row r="40" spans="2:61" ht="11.25">
      <c r="B40" s="254">
        <v>1</v>
      </c>
      <c r="C40" s="503">
        <f t="shared" si="27"/>
        <v>1.2</v>
      </c>
      <c r="D40" s="54"/>
      <c r="E40" s="355" t="s">
        <v>187</v>
      </c>
      <c r="F40" s="515" t="s">
        <v>188</v>
      </c>
      <c r="G40" s="516" t="s">
        <v>158</v>
      </c>
      <c r="H40" s="516">
        <v>40</v>
      </c>
      <c r="I40" s="390"/>
      <c r="J40" s="80">
        <v>11.8</v>
      </c>
      <c r="K40" s="80">
        <v>17.9</v>
      </c>
      <c r="L40" s="296">
        <v>0.315</v>
      </c>
      <c r="M40" s="80"/>
      <c r="N40" s="391"/>
      <c r="O40" s="392" t="str">
        <f t="shared" si="0"/>
        <v>NO</v>
      </c>
      <c r="P40" s="297">
        <v>50</v>
      </c>
      <c r="Q40" s="64">
        <v>1.5</v>
      </c>
      <c r="R40" s="297">
        <v>4</v>
      </c>
      <c r="S40" s="80">
        <v>4</v>
      </c>
      <c r="T40" s="297">
        <v>115</v>
      </c>
      <c r="U40" s="81">
        <v>240</v>
      </c>
      <c r="V40" s="80">
        <v>30</v>
      </c>
      <c r="W40" s="82">
        <f t="shared" si="1"/>
        <v>90</v>
      </c>
      <c r="X40" s="83">
        <f t="shared" si="2"/>
        <v>590</v>
      </c>
      <c r="Y40" s="84">
        <f t="shared" si="3"/>
        <v>1.9281045751633987</v>
      </c>
      <c r="Z40" s="102">
        <f t="shared" si="4"/>
        <v>530.3781862745099</v>
      </c>
      <c r="AA40" s="162">
        <f t="shared" si="5"/>
        <v>1</v>
      </c>
      <c r="AB40" s="51">
        <f t="shared" si="6"/>
        <v>169.155</v>
      </c>
      <c r="AC40" s="26">
        <v>17.2</v>
      </c>
      <c r="AD40" s="85">
        <f t="shared" si="7"/>
        <v>68.6046511627907</v>
      </c>
      <c r="AE40" s="297">
        <v>30</v>
      </c>
      <c r="AF40" s="297">
        <v>1.6</v>
      </c>
      <c r="AG40" s="81">
        <v>29</v>
      </c>
      <c r="AH40" s="24">
        <v>0</v>
      </c>
      <c r="AI40" s="356">
        <f t="shared" si="8"/>
        <v>1252</v>
      </c>
      <c r="AJ40" s="410">
        <v>115</v>
      </c>
      <c r="AK40" s="82">
        <f t="shared" si="9"/>
        <v>0.6830127018922193</v>
      </c>
      <c r="AL40" s="85">
        <f t="shared" si="10"/>
        <v>1570.9292143521043</v>
      </c>
      <c r="AM40" s="85">
        <f t="shared" si="11"/>
        <v>4015.8867429633665</v>
      </c>
      <c r="AN40" s="85">
        <f t="shared" si="12"/>
        <v>1752.8</v>
      </c>
      <c r="AO40" s="82">
        <f t="shared" si="13"/>
        <v>451.78725858337873</v>
      </c>
      <c r="AP40" s="86">
        <f t="shared" si="14"/>
        <v>60.238301144450496</v>
      </c>
      <c r="AQ40" s="90" t="str">
        <f t="shared" si="15"/>
        <v>OK</v>
      </c>
      <c r="AR40" s="103">
        <f t="shared" si="16"/>
        <v>652</v>
      </c>
      <c r="AS40" s="289">
        <f t="shared" si="17"/>
        <v>54.333333333333336</v>
      </c>
      <c r="AT40" s="290">
        <f t="shared" si="18"/>
        <v>2300</v>
      </c>
      <c r="AU40" s="290">
        <f t="shared" si="19"/>
        <v>191.66666666666666</v>
      </c>
      <c r="AV40" s="81">
        <v>612</v>
      </c>
      <c r="AW40" s="88">
        <f t="shared" si="20"/>
        <v>73.35</v>
      </c>
      <c r="AX40" s="254"/>
      <c r="AY40" s="300">
        <v>0</v>
      </c>
      <c r="AZ40" s="301">
        <f t="shared" si="21"/>
        <v>3.0359477124183005</v>
      </c>
      <c r="BA40" s="87">
        <v>1448</v>
      </c>
      <c r="BB40" s="292">
        <f t="shared" si="22"/>
        <v>0.6695233265720081</v>
      </c>
      <c r="BC40" s="68">
        <f t="shared" si="23"/>
        <v>0.9982258525433415</v>
      </c>
      <c r="BD40" s="102">
        <f t="shared" si="24"/>
        <v>1</v>
      </c>
      <c r="BE40" s="90" t="str">
        <f t="shared" si="25"/>
        <v>OK</v>
      </c>
      <c r="BF40" s="90" t="str">
        <f t="shared" si="26"/>
        <v>OK</v>
      </c>
      <c r="BH40" s="13"/>
      <c r="BI40" s="13"/>
    </row>
    <row r="41" spans="2:61" ht="12" thickBot="1">
      <c r="B41" s="165">
        <v>1</v>
      </c>
      <c r="C41" s="507">
        <f t="shared" si="27"/>
        <v>1.2</v>
      </c>
      <c r="D41" s="54"/>
      <c r="E41" s="393" t="s">
        <v>168</v>
      </c>
      <c r="F41" s="517" t="s">
        <v>169</v>
      </c>
      <c r="G41" s="268" t="s">
        <v>158</v>
      </c>
      <c r="H41" s="518">
        <v>40</v>
      </c>
      <c r="I41" s="273"/>
      <c r="J41" s="100">
        <v>11.8</v>
      </c>
      <c r="K41" s="100">
        <v>17.9</v>
      </c>
      <c r="L41" s="116">
        <v>0.315</v>
      </c>
      <c r="M41" s="100"/>
      <c r="N41" s="156"/>
      <c r="O41" s="158" t="str">
        <f t="shared" si="0"/>
        <v>NO</v>
      </c>
      <c r="P41" s="109">
        <v>50</v>
      </c>
      <c r="Q41" s="95">
        <v>1.5</v>
      </c>
      <c r="R41" s="109">
        <v>4</v>
      </c>
      <c r="S41" s="100">
        <v>4</v>
      </c>
      <c r="T41" s="109">
        <v>115</v>
      </c>
      <c r="U41" s="108">
        <v>240</v>
      </c>
      <c r="V41" s="100">
        <v>30</v>
      </c>
      <c r="W41" s="107">
        <f t="shared" si="1"/>
        <v>90</v>
      </c>
      <c r="X41" s="105">
        <f t="shared" si="2"/>
        <v>590</v>
      </c>
      <c r="Y41" s="117">
        <f t="shared" si="3"/>
        <v>1.9281045751633987</v>
      </c>
      <c r="Z41" s="384">
        <f t="shared" si="4"/>
        <v>530.3781862745099</v>
      </c>
      <c r="AA41" s="375">
        <f t="shared" si="5"/>
        <v>1</v>
      </c>
      <c r="AB41" s="308">
        <f t="shared" si="6"/>
        <v>169.155</v>
      </c>
      <c r="AC41" s="36">
        <v>17.2</v>
      </c>
      <c r="AD41" s="376">
        <f t="shared" si="7"/>
        <v>68.6046511627907</v>
      </c>
      <c r="AE41" s="286">
        <v>30</v>
      </c>
      <c r="AF41" s="286">
        <v>1.6</v>
      </c>
      <c r="AG41" s="35">
        <v>29</v>
      </c>
      <c r="AH41" s="35">
        <v>0</v>
      </c>
      <c r="AI41" s="377">
        <f t="shared" si="8"/>
        <v>1252</v>
      </c>
      <c r="AJ41" s="35">
        <v>115</v>
      </c>
      <c r="AK41" s="107">
        <f t="shared" si="9"/>
        <v>0.6830127018922193</v>
      </c>
      <c r="AL41" s="376">
        <f t="shared" si="10"/>
        <v>1570.9292143521043</v>
      </c>
      <c r="AM41" s="376">
        <f t="shared" si="11"/>
        <v>4015.8867429633665</v>
      </c>
      <c r="AN41" s="376">
        <f t="shared" si="12"/>
        <v>1752.8</v>
      </c>
      <c r="AO41" s="148">
        <f t="shared" si="13"/>
        <v>451.78725858337873</v>
      </c>
      <c r="AP41" s="129">
        <f t="shared" si="14"/>
        <v>60.238301144450496</v>
      </c>
      <c r="AQ41" s="311" t="str">
        <f t="shared" si="15"/>
        <v>OK</v>
      </c>
      <c r="AR41" s="378">
        <f t="shared" si="16"/>
        <v>652</v>
      </c>
      <c r="AS41" s="379">
        <f t="shared" si="17"/>
        <v>54.333333333333336</v>
      </c>
      <c r="AT41" s="376">
        <f t="shared" si="18"/>
        <v>2300</v>
      </c>
      <c r="AU41" s="376">
        <f t="shared" si="19"/>
        <v>191.66666666666666</v>
      </c>
      <c r="AV41" s="35">
        <v>612</v>
      </c>
      <c r="AW41" s="380">
        <f t="shared" si="20"/>
        <v>73.35</v>
      </c>
      <c r="AX41" s="381"/>
      <c r="AY41" s="382">
        <v>0</v>
      </c>
      <c r="AZ41" s="383">
        <f t="shared" si="21"/>
        <v>3.0359477124183005</v>
      </c>
      <c r="BA41" s="368">
        <v>1448</v>
      </c>
      <c r="BB41" s="310">
        <f t="shared" si="22"/>
        <v>0.6695233265720081</v>
      </c>
      <c r="BC41" s="380">
        <f t="shared" si="23"/>
        <v>0.9982258525433415</v>
      </c>
      <c r="BD41" s="384">
        <f t="shared" si="24"/>
        <v>1</v>
      </c>
      <c r="BE41" s="385" t="str">
        <f t="shared" si="25"/>
        <v>OK</v>
      </c>
      <c r="BF41" s="385" t="str">
        <f t="shared" si="26"/>
        <v>OK</v>
      </c>
      <c r="BH41" s="13"/>
      <c r="BI41" s="13"/>
    </row>
    <row r="42" spans="2:61" ht="12" thickBot="1">
      <c r="B42" s="347">
        <v>1</v>
      </c>
      <c r="C42" s="503">
        <f t="shared" si="27"/>
        <v>1.5</v>
      </c>
      <c r="D42" s="54"/>
      <c r="E42" s="393" t="s">
        <v>172</v>
      </c>
      <c r="F42" s="519" t="s">
        <v>173</v>
      </c>
      <c r="G42" s="268" t="s">
        <v>158</v>
      </c>
      <c r="H42" s="518">
        <v>50</v>
      </c>
      <c r="I42" s="394"/>
      <c r="J42" s="306">
        <v>14.7</v>
      </c>
      <c r="K42" s="100">
        <v>18</v>
      </c>
      <c r="L42" s="116">
        <v>0.355</v>
      </c>
      <c r="M42" s="306"/>
      <c r="N42" s="398"/>
      <c r="O42" s="373" t="str">
        <f t="shared" si="0"/>
        <v>NO</v>
      </c>
      <c r="P42" s="286">
        <v>50</v>
      </c>
      <c r="Q42" s="36">
        <v>1.5</v>
      </c>
      <c r="R42" s="286">
        <v>4</v>
      </c>
      <c r="S42" s="306">
        <v>4</v>
      </c>
      <c r="T42" s="286">
        <v>115</v>
      </c>
      <c r="U42" s="81">
        <v>282</v>
      </c>
      <c r="V42" s="80">
        <v>30</v>
      </c>
      <c r="W42" s="148">
        <f t="shared" si="1"/>
        <v>90</v>
      </c>
      <c r="X42" s="149">
        <f t="shared" si="2"/>
        <v>735</v>
      </c>
      <c r="Y42" s="150">
        <f t="shared" si="3"/>
        <v>2.4019607843137254</v>
      </c>
      <c r="Z42" s="384">
        <f t="shared" si="4"/>
        <v>650.420955882353</v>
      </c>
      <c r="AA42" s="375">
        <f t="shared" si="5"/>
        <v>1</v>
      </c>
      <c r="AB42" s="308">
        <f t="shared" si="6"/>
        <v>191.7</v>
      </c>
      <c r="AC42" s="36">
        <v>17.2</v>
      </c>
      <c r="AD42" s="376">
        <f t="shared" si="7"/>
        <v>85.46511627906978</v>
      </c>
      <c r="AE42" s="286">
        <v>30</v>
      </c>
      <c r="AF42" s="286">
        <v>1.6</v>
      </c>
      <c r="AG42" s="35">
        <v>29</v>
      </c>
      <c r="AH42" s="35">
        <v>0</v>
      </c>
      <c r="AI42" s="377">
        <f t="shared" si="8"/>
        <v>1474.1000000000001</v>
      </c>
      <c r="AJ42" s="182">
        <v>115</v>
      </c>
      <c r="AK42" s="329">
        <f t="shared" si="9"/>
        <v>0.6494677309684806</v>
      </c>
      <c r="AL42" s="106">
        <f t="shared" si="10"/>
        <v>1755.186542942319</v>
      </c>
      <c r="AM42" s="106">
        <f t="shared" si="11"/>
        <v>4577.218468707711</v>
      </c>
      <c r="AN42" s="106">
        <f t="shared" si="12"/>
        <v>2063.7400000000002</v>
      </c>
      <c r="AO42" s="107">
        <f t="shared" si="13"/>
        <v>514.9370777296175</v>
      </c>
      <c r="AP42" s="129">
        <f t="shared" si="14"/>
        <v>68.65827703061566</v>
      </c>
      <c r="AQ42" s="92" t="str">
        <f t="shared" si="15"/>
        <v>OK</v>
      </c>
      <c r="AR42" s="378">
        <f t="shared" si="16"/>
        <v>769.1</v>
      </c>
      <c r="AS42" s="379">
        <f t="shared" si="17"/>
        <v>64.09166666666667</v>
      </c>
      <c r="AT42" s="376">
        <f t="shared" si="18"/>
        <v>2702.5</v>
      </c>
      <c r="AU42" s="376">
        <f t="shared" si="19"/>
        <v>225.20833333333334</v>
      </c>
      <c r="AV42" s="81">
        <v>800</v>
      </c>
      <c r="AW42" s="380">
        <f t="shared" si="20"/>
        <v>86.52375</v>
      </c>
      <c r="AX42" s="381"/>
      <c r="AY42" s="382">
        <v>0</v>
      </c>
      <c r="AZ42" s="383">
        <f t="shared" si="21"/>
        <v>2.799019607843137</v>
      </c>
      <c r="BA42" s="16">
        <v>1818</v>
      </c>
      <c r="BB42" s="310">
        <f t="shared" si="22"/>
        <v>0.6041744612068967</v>
      </c>
      <c r="BC42" s="380">
        <f t="shared" si="23"/>
        <v>0.9342032263571185</v>
      </c>
      <c r="BD42" s="384">
        <f t="shared" si="24"/>
        <v>1</v>
      </c>
      <c r="BE42" s="385" t="str">
        <f t="shared" si="25"/>
        <v>OK</v>
      </c>
      <c r="BF42" s="385" t="str">
        <f t="shared" si="26"/>
        <v>OK</v>
      </c>
      <c r="BH42" s="13"/>
      <c r="BI42" s="13"/>
    </row>
    <row r="43" spans="2:58" ht="11.25">
      <c r="B43" s="254">
        <v>1</v>
      </c>
      <c r="C43" s="503">
        <f t="shared" si="27"/>
        <v>1.1</v>
      </c>
      <c r="D43" s="54"/>
      <c r="E43" s="357" t="s">
        <v>175</v>
      </c>
      <c r="F43" s="404" t="s">
        <v>176</v>
      </c>
      <c r="G43" s="179" t="s">
        <v>158</v>
      </c>
      <c r="H43" s="179">
        <v>40</v>
      </c>
      <c r="I43" s="390"/>
      <c r="J43" s="80">
        <v>11.8</v>
      </c>
      <c r="K43" s="80">
        <v>17.9</v>
      </c>
      <c r="L43" s="296">
        <v>0.315</v>
      </c>
      <c r="M43" s="80"/>
      <c r="N43" s="391"/>
      <c r="O43" s="216" t="str">
        <f t="shared" si="0"/>
        <v>NO</v>
      </c>
      <c r="P43" s="11">
        <v>50</v>
      </c>
      <c r="Q43" s="13">
        <v>1.5</v>
      </c>
      <c r="R43" s="11">
        <v>4</v>
      </c>
      <c r="S43" s="74">
        <v>4</v>
      </c>
      <c r="T43" s="11">
        <v>115</v>
      </c>
      <c r="U43" s="31">
        <v>282</v>
      </c>
      <c r="V43" s="29">
        <v>27.5</v>
      </c>
      <c r="W43" s="82">
        <f t="shared" si="1"/>
        <v>82.5</v>
      </c>
      <c r="X43" s="83">
        <f t="shared" si="2"/>
        <v>590</v>
      </c>
      <c r="Y43" s="84">
        <f t="shared" si="3"/>
        <v>2.1033868092691623</v>
      </c>
      <c r="Z43" s="102">
        <f t="shared" si="4"/>
        <v>526.5000668449198</v>
      </c>
      <c r="AA43" s="162">
        <f t="shared" si="5"/>
        <v>1</v>
      </c>
      <c r="AB43" s="51">
        <f t="shared" si="6"/>
        <v>169.155</v>
      </c>
      <c r="AC43" s="26">
        <v>17.2</v>
      </c>
      <c r="AD43" s="290">
        <f t="shared" si="7"/>
        <v>68.6046511627907</v>
      </c>
      <c r="AE43" s="288">
        <v>30</v>
      </c>
      <c r="AF43" s="288">
        <v>1.6</v>
      </c>
      <c r="AG43" s="24">
        <v>29</v>
      </c>
      <c r="AH43" s="24">
        <v>0</v>
      </c>
      <c r="AI43" s="356">
        <f t="shared" si="8"/>
        <v>1464.1000000000001</v>
      </c>
      <c r="AJ43" s="24">
        <v>115</v>
      </c>
      <c r="AK43" s="82">
        <f t="shared" si="9"/>
        <v>0.6672304374216065</v>
      </c>
      <c r="AL43" s="290">
        <f t="shared" si="10"/>
        <v>1803.1902571318917</v>
      </c>
      <c r="AM43" s="290">
        <f t="shared" si="11"/>
        <v>4642.024411411026</v>
      </c>
      <c r="AN43" s="290">
        <f t="shared" si="12"/>
        <v>2049.7400000000002</v>
      </c>
      <c r="AO43" s="23">
        <f t="shared" si="13"/>
        <v>438.81637014119855</v>
      </c>
      <c r="AP43" s="51">
        <f t="shared" si="14"/>
        <v>63.82783565690161</v>
      </c>
      <c r="AQ43" s="90" t="str">
        <f t="shared" si="15"/>
        <v>OK</v>
      </c>
      <c r="AR43" s="103">
        <f t="shared" si="16"/>
        <v>759.1</v>
      </c>
      <c r="AS43" s="289">
        <f t="shared" si="17"/>
        <v>63.25833333333333</v>
      </c>
      <c r="AT43" s="290">
        <f t="shared" si="18"/>
        <v>2702.5</v>
      </c>
      <c r="AU43" s="290">
        <f t="shared" si="19"/>
        <v>225.20833333333334</v>
      </c>
      <c r="AV43" s="24">
        <v>612</v>
      </c>
      <c r="AW43" s="68">
        <f t="shared" si="20"/>
        <v>71.758671875</v>
      </c>
      <c r="AX43" s="118"/>
      <c r="AY43" s="126">
        <v>0</v>
      </c>
      <c r="AZ43" s="291">
        <f t="shared" si="21"/>
        <v>2.948306595365419</v>
      </c>
      <c r="BA43" s="66">
        <v>1448</v>
      </c>
      <c r="BB43" s="292">
        <f t="shared" si="22"/>
        <v>0.5503802799743281</v>
      </c>
      <c r="BC43" s="68">
        <f t="shared" si="23"/>
        <v>0.828156540838508</v>
      </c>
      <c r="BD43" s="102">
        <f t="shared" si="24"/>
        <v>0.9166666666666667</v>
      </c>
      <c r="BE43" s="90" t="str">
        <f t="shared" si="25"/>
        <v>OK</v>
      </c>
      <c r="BF43" s="90" t="str">
        <f t="shared" si="26"/>
        <v>OK</v>
      </c>
    </row>
    <row r="44" spans="2:58" ht="12" thickBot="1">
      <c r="B44" s="381">
        <v>1</v>
      </c>
      <c r="C44" s="513">
        <f t="shared" si="27"/>
        <v>1.1</v>
      </c>
      <c r="D44" s="54"/>
      <c r="E44" s="268" t="s">
        <v>176</v>
      </c>
      <c r="F44" s="405" t="s">
        <v>177</v>
      </c>
      <c r="G44" s="218" t="s">
        <v>158</v>
      </c>
      <c r="H44" s="218">
        <v>40</v>
      </c>
      <c r="I44" s="273"/>
      <c r="J44" s="100">
        <v>11.8</v>
      </c>
      <c r="K44" s="100">
        <v>17.9</v>
      </c>
      <c r="L44" s="116">
        <v>0.315</v>
      </c>
      <c r="M44" s="100"/>
      <c r="N44" s="156"/>
      <c r="O44" s="158" t="str">
        <f t="shared" si="0"/>
        <v>NO</v>
      </c>
      <c r="P44" s="109">
        <v>50</v>
      </c>
      <c r="Q44" s="95">
        <v>1.5</v>
      </c>
      <c r="R44" s="109">
        <v>4</v>
      </c>
      <c r="S44" s="100">
        <v>4</v>
      </c>
      <c r="T44" s="109">
        <v>115</v>
      </c>
      <c r="U44" s="108">
        <v>282</v>
      </c>
      <c r="V44" s="100">
        <v>27.5</v>
      </c>
      <c r="W44" s="107">
        <f t="shared" si="1"/>
        <v>82.5</v>
      </c>
      <c r="X44" s="105">
        <f t="shared" si="2"/>
        <v>590</v>
      </c>
      <c r="Y44" s="117">
        <f t="shared" si="3"/>
        <v>2.1033868092691623</v>
      </c>
      <c r="Z44" s="113">
        <f t="shared" si="4"/>
        <v>526.5000668449198</v>
      </c>
      <c r="AA44" s="164">
        <f t="shared" si="5"/>
        <v>1</v>
      </c>
      <c r="AB44" s="129">
        <f t="shared" si="6"/>
        <v>169.155</v>
      </c>
      <c r="AC44" s="95">
        <v>17.2</v>
      </c>
      <c r="AD44" s="106">
        <f t="shared" si="7"/>
        <v>68.6046511627907</v>
      </c>
      <c r="AE44" s="109">
        <v>30</v>
      </c>
      <c r="AF44" s="109">
        <v>1.6</v>
      </c>
      <c r="AG44" s="108">
        <v>29</v>
      </c>
      <c r="AH44" s="108">
        <v>0</v>
      </c>
      <c r="AI44" s="133">
        <f t="shared" si="8"/>
        <v>1464.1000000000001</v>
      </c>
      <c r="AJ44" s="108">
        <v>115</v>
      </c>
      <c r="AK44" s="107">
        <f t="shared" si="9"/>
        <v>0.6672304374216065</v>
      </c>
      <c r="AL44" s="106">
        <f t="shared" si="10"/>
        <v>1803.1902571318917</v>
      </c>
      <c r="AM44" s="106">
        <f t="shared" si="11"/>
        <v>4642.024411411026</v>
      </c>
      <c r="AN44" s="106">
        <f t="shared" si="12"/>
        <v>2049.7400000000002</v>
      </c>
      <c r="AO44" s="107">
        <f t="shared" si="13"/>
        <v>438.81637014119855</v>
      </c>
      <c r="AP44" s="129">
        <f t="shared" si="14"/>
        <v>63.82783565690161</v>
      </c>
      <c r="AQ44" s="92" t="str">
        <f t="shared" si="15"/>
        <v>OK</v>
      </c>
      <c r="AR44" s="104">
        <f t="shared" si="16"/>
        <v>759.1</v>
      </c>
      <c r="AS44" s="312">
        <f t="shared" si="17"/>
        <v>63.25833333333333</v>
      </c>
      <c r="AT44" s="106">
        <f t="shared" si="18"/>
        <v>2702.5</v>
      </c>
      <c r="AU44" s="106">
        <f t="shared" si="19"/>
        <v>225.20833333333334</v>
      </c>
      <c r="AV44" s="108">
        <v>612</v>
      </c>
      <c r="AW44" s="111">
        <f t="shared" si="20"/>
        <v>71.758671875</v>
      </c>
      <c r="AX44" s="165"/>
      <c r="AY44" s="127">
        <v>0</v>
      </c>
      <c r="AZ44" s="313">
        <f t="shared" si="21"/>
        <v>2.948306595365419</v>
      </c>
      <c r="BA44" s="110">
        <v>1448</v>
      </c>
      <c r="BB44" s="314">
        <f t="shared" si="22"/>
        <v>0.5503802799743281</v>
      </c>
      <c r="BC44" s="111">
        <f t="shared" si="23"/>
        <v>0.828156540838508</v>
      </c>
      <c r="BD44" s="113">
        <f t="shared" si="24"/>
        <v>0.9166666666666667</v>
      </c>
      <c r="BE44" s="92" t="str">
        <f t="shared" si="25"/>
        <v>OK</v>
      </c>
      <c r="BF44" s="92" t="str">
        <f t="shared" si="26"/>
        <v>OK</v>
      </c>
    </row>
    <row r="46" spans="5:12" ht="11.25">
      <c r="E46" s="241"/>
      <c r="F46" s="64"/>
      <c r="G46" s="64" t="s">
        <v>111</v>
      </c>
      <c r="H46" s="64"/>
      <c r="I46" s="64"/>
      <c r="J46" s="64"/>
      <c r="K46" s="64"/>
      <c r="L46" s="13"/>
    </row>
    <row r="47" spans="5:12" ht="12" thickBot="1">
      <c r="E47" s="276"/>
      <c r="F47" s="277" t="s">
        <v>120</v>
      </c>
      <c r="G47" s="278"/>
      <c r="H47" s="278"/>
      <c r="I47" s="279" t="s">
        <v>121</v>
      </c>
      <c r="J47" s="279"/>
      <c r="K47" s="280" t="s">
        <v>122</v>
      </c>
      <c r="L47" s="167"/>
    </row>
    <row r="48" spans="5:12" ht="12" thickTop="1">
      <c r="E48" s="241"/>
      <c r="F48" s="434" t="s">
        <v>5</v>
      </c>
      <c r="J48" s="281" t="s">
        <v>195</v>
      </c>
      <c r="K48" s="167"/>
      <c r="L48" s="167"/>
    </row>
    <row r="49" spans="5:12" ht="11.25">
      <c r="E49" s="276"/>
      <c r="F49" s="8"/>
      <c r="G49" s="75"/>
      <c r="H49" s="8" t="s">
        <v>21</v>
      </c>
      <c r="I49" s="75"/>
      <c r="J49" s="8"/>
      <c r="K49" s="269"/>
      <c r="L49" s="167"/>
    </row>
    <row r="50" spans="5:12" ht="11.25">
      <c r="E50" s="276"/>
      <c r="F50" s="8"/>
      <c r="J50" s="13"/>
      <c r="K50" s="10"/>
      <c r="L50" s="13"/>
    </row>
    <row r="51" spans="2:72" ht="12" thickBot="1">
      <c r="B51" s="36"/>
      <c r="E51" s="411"/>
      <c r="F51" s="411"/>
      <c r="G51" s="36"/>
      <c r="H51" s="36"/>
      <c r="I51" s="36"/>
      <c r="J51" s="408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S51" s="13"/>
      <c r="BT51" s="13"/>
    </row>
    <row r="52" spans="2:72" ht="12" thickBot="1">
      <c r="B52" s="138"/>
      <c r="C52" s="502"/>
      <c r="D52" s="54"/>
      <c r="E52" s="431" t="s">
        <v>210</v>
      </c>
      <c r="F52" s="432" t="s">
        <v>194</v>
      </c>
      <c r="G52" s="36"/>
      <c r="H52" s="36"/>
      <c r="I52" s="177"/>
      <c r="J52" s="36"/>
      <c r="K52" s="408"/>
      <c r="L52" s="36"/>
      <c r="M52" s="408"/>
      <c r="N52" s="433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151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BB52" s="151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151"/>
      <c r="BR52" s="460"/>
      <c r="BS52" s="13"/>
      <c r="BT52" s="13"/>
    </row>
    <row r="53" spans="2:72" ht="11.25">
      <c r="B53" s="446" t="s">
        <v>244</v>
      </c>
      <c r="C53" s="497" t="s">
        <v>56</v>
      </c>
      <c r="D53" s="54"/>
      <c r="E53" s="76"/>
      <c r="F53" s="56"/>
      <c r="G53" s="6" t="s">
        <v>58</v>
      </c>
      <c r="H53" s="6"/>
      <c r="I53" s="188"/>
      <c r="J53" s="6"/>
      <c r="K53" s="6"/>
      <c r="L53" s="6"/>
      <c r="M53" s="220"/>
      <c r="N53" s="243"/>
      <c r="O53" s="6"/>
      <c r="P53" s="3"/>
      <c r="Q53" s="38" t="s">
        <v>34</v>
      </c>
      <c r="R53" s="70"/>
      <c r="S53" s="26" t="s">
        <v>61</v>
      </c>
      <c r="T53" s="50"/>
      <c r="U53" s="5" t="s">
        <v>25</v>
      </c>
      <c r="V53" s="4"/>
      <c r="W53" s="4"/>
      <c r="X53" s="14" t="s">
        <v>49</v>
      </c>
      <c r="Y53" s="7"/>
      <c r="Z53" s="37"/>
      <c r="AA53" s="163" t="s">
        <v>96</v>
      </c>
      <c r="AB53" s="159"/>
      <c r="AC53" s="38" t="s">
        <v>17</v>
      </c>
      <c r="AD53" s="4"/>
      <c r="AE53" s="15" t="s">
        <v>7</v>
      </c>
      <c r="AF53" s="15" t="s">
        <v>7</v>
      </c>
      <c r="AG53" s="259" t="s">
        <v>7</v>
      </c>
      <c r="AH53" s="14" t="s">
        <v>7</v>
      </c>
      <c r="AI53" s="15" t="s">
        <v>7</v>
      </c>
      <c r="AJ53" s="42" t="s">
        <v>113</v>
      </c>
      <c r="AK53" s="45" t="s">
        <v>8</v>
      </c>
      <c r="AL53" s="98" t="s">
        <v>8</v>
      </c>
      <c r="AM53" s="43" t="s">
        <v>8</v>
      </c>
      <c r="AN53" s="43" t="s">
        <v>113</v>
      </c>
      <c r="AO53" s="43" t="s">
        <v>113</v>
      </c>
      <c r="AP53" s="43" t="s">
        <v>97</v>
      </c>
      <c r="AQ53" s="43" t="s">
        <v>97</v>
      </c>
      <c r="AR53" s="12" t="s">
        <v>98</v>
      </c>
      <c r="AS53" s="12" t="s">
        <v>98</v>
      </c>
      <c r="AT53" s="12" t="s">
        <v>5</v>
      </c>
      <c r="AU53" s="12" t="s">
        <v>195</v>
      </c>
      <c r="AV53" s="419" t="s">
        <v>196</v>
      </c>
      <c r="AW53" s="419" t="s">
        <v>197</v>
      </c>
      <c r="AX53" s="419" t="s">
        <v>198</v>
      </c>
      <c r="AY53" s="419" t="s">
        <v>199</v>
      </c>
      <c r="AZ53" s="420" t="s">
        <v>14</v>
      </c>
      <c r="BA53" s="421" t="s">
        <v>36</v>
      </c>
      <c r="BB53" s="39" t="s">
        <v>50</v>
      </c>
      <c r="BC53" s="42" t="s">
        <v>7</v>
      </c>
      <c r="BD53" s="14" t="s">
        <v>7</v>
      </c>
      <c r="BE53" s="15" t="s">
        <v>8</v>
      </c>
      <c r="BF53" s="15" t="s">
        <v>8</v>
      </c>
      <c r="BG53" s="42" t="s">
        <v>34</v>
      </c>
      <c r="BH53" s="41" t="s">
        <v>14</v>
      </c>
      <c r="BI53" s="41" t="s">
        <v>51</v>
      </c>
      <c r="BJ53" s="15" t="s">
        <v>9</v>
      </c>
      <c r="BK53" s="15" t="s">
        <v>10</v>
      </c>
      <c r="BL53" s="17" t="s">
        <v>29</v>
      </c>
      <c r="BM53" s="42" t="s">
        <v>41</v>
      </c>
      <c r="BN53" s="41" t="s">
        <v>42</v>
      </c>
      <c r="BO53" s="57" t="s">
        <v>99</v>
      </c>
      <c r="BP53" s="55" t="s">
        <v>7</v>
      </c>
      <c r="BQ53" s="56" t="s">
        <v>8</v>
      </c>
      <c r="BR53" s="460"/>
      <c r="BS53" s="13"/>
      <c r="BT53" s="13"/>
    </row>
    <row r="54" spans="2:72" ht="11.25">
      <c r="B54" s="93"/>
      <c r="C54" s="498"/>
      <c r="D54" s="54"/>
      <c r="E54" s="76"/>
      <c r="F54" s="44"/>
      <c r="G54" s="64"/>
      <c r="H54" s="64"/>
      <c r="I54" s="65"/>
      <c r="J54" s="64"/>
      <c r="K54" s="64"/>
      <c r="L54" s="64"/>
      <c r="M54" s="247"/>
      <c r="N54" s="244"/>
      <c r="O54" s="64"/>
      <c r="P54" s="69"/>
      <c r="Q54" s="14" t="s">
        <v>1</v>
      </c>
      <c r="R54" s="71"/>
      <c r="S54" s="72" t="s">
        <v>62</v>
      </c>
      <c r="T54" s="72" t="s">
        <v>63</v>
      </c>
      <c r="U54" s="12" t="s">
        <v>26</v>
      </c>
      <c r="V54" s="11"/>
      <c r="W54" s="11"/>
      <c r="Y54" s="16"/>
      <c r="Z54" s="41" t="s">
        <v>51</v>
      </c>
      <c r="AA54" s="160" t="s">
        <v>74</v>
      </c>
      <c r="AB54" s="41" t="s">
        <v>52</v>
      </c>
      <c r="AC54" s="14" t="s">
        <v>18</v>
      </c>
      <c r="AD54" s="15" t="s">
        <v>30</v>
      </c>
      <c r="AE54" s="15" t="s">
        <v>70</v>
      </c>
      <c r="AF54" s="15" t="s">
        <v>34</v>
      </c>
      <c r="AG54" s="15" t="s">
        <v>61</v>
      </c>
      <c r="AH54" s="98" t="s">
        <v>87</v>
      </c>
      <c r="AI54" s="15" t="s">
        <v>62</v>
      </c>
      <c r="AJ54" s="42" t="s">
        <v>7</v>
      </c>
      <c r="AK54" s="10"/>
      <c r="AL54" s="98" t="s">
        <v>67</v>
      </c>
      <c r="AM54" s="43" t="s">
        <v>81</v>
      </c>
      <c r="AN54" s="43" t="s">
        <v>200</v>
      </c>
      <c r="AO54" s="43" t="s">
        <v>200</v>
      </c>
      <c r="AP54" s="43" t="s">
        <v>15</v>
      </c>
      <c r="AQ54" s="43" t="s">
        <v>15</v>
      </c>
      <c r="AR54" s="12"/>
      <c r="AS54" s="12"/>
      <c r="AT54" s="12"/>
      <c r="AU54" s="12"/>
      <c r="AV54" s="419"/>
      <c r="AW54" s="419"/>
      <c r="AX54" s="419"/>
      <c r="AY54" s="419"/>
      <c r="AZ54" s="76"/>
      <c r="BA54" s="422"/>
      <c r="BB54" s="44" t="s">
        <v>37</v>
      </c>
      <c r="BC54" s="42" t="s">
        <v>85</v>
      </c>
      <c r="BD54" s="13"/>
      <c r="BE54" s="11"/>
      <c r="BF54" s="11"/>
      <c r="BG54" s="42" t="s">
        <v>33</v>
      </c>
      <c r="BH54" s="17" t="s">
        <v>85</v>
      </c>
      <c r="BI54" s="40" t="s">
        <v>34</v>
      </c>
      <c r="BJ54" s="10"/>
      <c r="BK54" s="13"/>
      <c r="BL54" s="17" t="s">
        <v>46</v>
      </c>
      <c r="BM54" s="42" t="s">
        <v>13</v>
      </c>
      <c r="BN54" s="41"/>
      <c r="BO54" s="54"/>
      <c r="BP54" s="58" t="s">
        <v>39</v>
      </c>
      <c r="BQ54" s="44" t="s">
        <v>39</v>
      </c>
      <c r="BS54" s="13"/>
      <c r="BT54" s="13"/>
    </row>
    <row r="55" spans="2:72" ht="11.25">
      <c r="B55" s="93"/>
      <c r="C55" s="498"/>
      <c r="D55" s="54"/>
      <c r="E55" s="76"/>
      <c r="F55" s="44"/>
      <c r="G55" s="73" t="s">
        <v>59</v>
      </c>
      <c r="H55" s="10" t="s">
        <v>56</v>
      </c>
      <c r="I55" s="269" t="s">
        <v>88</v>
      </c>
      <c r="J55" s="15" t="s">
        <v>47</v>
      </c>
      <c r="K55" s="15" t="s">
        <v>0</v>
      </c>
      <c r="L55" s="15" t="s">
        <v>2</v>
      </c>
      <c r="M55" s="43" t="s">
        <v>90</v>
      </c>
      <c r="N55" s="245" t="s">
        <v>91</v>
      </c>
      <c r="O55" s="15" t="s">
        <v>95</v>
      </c>
      <c r="P55" s="15" t="s">
        <v>3</v>
      </c>
      <c r="Q55" s="14" t="s">
        <v>19</v>
      </c>
      <c r="R55" s="15" t="s">
        <v>4</v>
      </c>
      <c r="S55" s="15" t="s">
        <v>19</v>
      </c>
      <c r="T55" s="15" t="s">
        <v>56</v>
      </c>
      <c r="U55" s="12" t="s">
        <v>16</v>
      </c>
      <c r="V55" s="15" t="s">
        <v>21</v>
      </c>
      <c r="W55" s="15" t="s">
        <v>48</v>
      </c>
      <c r="X55" s="14" t="s">
        <v>6</v>
      </c>
      <c r="Y55" s="17" t="s">
        <v>5</v>
      </c>
      <c r="Z55" s="41" t="s">
        <v>53</v>
      </c>
      <c r="AA55" s="161"/>
      <c r="AB55" s="41"/>
      <c r="AC55" s="14" t="s">
        <v>32</v>
      </c>
      <c r="AD55" s="15" t="s">
        <v>31</v>
      </c>
      <c r="AE55" s="15" t="s">
        <v>71</v>
      </c>
      <c r="AF55" s="15" t="s">
        <v>72</v>
      </c>
      <c r="AG55" s="15"/>
      <c r="AH55" s="98" t="s">
        <v>86</v>
      </c>
      <c r="AI55" s="15"/>
      <c r="AJ55" s="15" t="s">
        <v>111</v>
      </c>
      <c r="AK55" s="11"/>
      <c r="AL55" s="98" t="s">
        <v>27</v>
      </c>
      <c r="AM55" s="43" t="s">
        <v>201</v>
      </c>
      <c r="AN55" s="43" t="s">
        <v>111</v>
      </c>
      <c r="AO55" s="43" t="s">
        <v>202</v>
      </c>
      <c r="AP55" s="15" t="s">
        <v>83</v>
      </c>
      <c r="AQ55" s="15" t="s">
        <v>114</v>
      </c>
      <c r="AR55" s="42" t="s">
        <v>83</v>
      </c>
      <c r="AS55" s="42" t="s">
        <v>114</v>
      </c>
      <c r="AT55" s="42"/>
      <c r="AU55" s="42"/>
      <c r="AV55" s="76"/>
      <c r="AW55" s="76"/>
      <c r="AX55" s="76"/>
      <c r="AY55" s="76"/>
      <c r="AZ55" s="76"/>
      <c r="BA55" s="422"/>
      <c r="BB55" s="41" t="s">
        <v>54</v>
      </c>
      <c r="BC55" s="134"/>
      <c r="BD55" s="11"/>
      <c r="BE55" s="11"/>
      <c r="BF55" s="11"/>
      <c r="BG55" s="11"/>
      <c r="BH55" s="16"/>
      <c r="BI55" s="40" t="s">
        <v>84</v>
      </c>
      <c r="BJ55" s="10"/>
      <c r="BK55" s="11"/>
      <c r="BL55" s="54"/>
      <c r="BM55" s="10"/>
      <c r="BN55" s="16"/>
      <c r="BO55" s="93"/>
      <c r="BP55" s="93"/>
      <c r="BQ55" s="93"/>
      <c r="BS55" s="13"/>
      <c r="BT55" s="13"/>
    </row>
    <row r="56" spans="2:72" ht="12" thickBot="1">
      <c r="B56" s="381"/>
      <c r="C56" s="499" t="s">
        <v>246</v>
      </c>
      <c r="D56" s="54"/>
      <c r="E56" s="77"/>
      <c r="F56" s="62"/>
      <c r="G56" s="18" t="s">
        <v>60</v>
      </c>
      <c r="H56" s="18" t="s">
        <v>11</v>
      </c>
      <c r="I56" s="270"/>
      <c r="J56" s="1" t="s">
        <v>43</v>
      </c>
      <c r="K56" s="1" t="s">
        <v>40</v>
      </c>
      <c r="L56" s="1" t="s">
        <v>40</v>
      </c>
      <c r="M56" s="48"/>
      <c r="N56" s="246"/>
      <c r="O56" s="1"/>
      <c r="P56" s="1" t="s">
        <v>44</v>
      </c>
      <c r="Q56" s="20" t="s">
        <v>40</v>
      </c>
      <c r="R56" s="1" t="s">
        <v>44</v>
      </c>
      <c r="S56" s="1" t="s">
        <v>40</v>
      </c>
      <c r="T56" s="1" t="s">
        <v>57</v>
      </c>
      <c r="U56" s="19" t="s">
        <v>40</v>
      </c>
      <c r="V56" s="1" t="s">
        <v>12</v>
      </c>
      <c r="W56" s="1" t="s">
        <v>40</v>
      </c>
      <c r="X56" s="20" t="s">
        <v>35</v>
      </c>
      <c r="Y56" s="21" t="s">
        <v>40</v>
      </c>
      <c r="Z56" s="41" t="s">
        <v>45</v>
      </c>
      <c r="AA56" s="161"/>
      <c r="AB56" s="17" t="s">
        <v>35</v>
      </c>
      <c r="AC56" s="14" t="s">
        <v>24</v>
      </c>
      <c r="AD56" s="15" t="s">
        <v>22</v>
      </c>
      <c r="AE56" s="15" t="s">
        <v>28</v>
      </c>
      <c r="AF56" s="15" t="s">
        <v>28</v>
      </c>
      <c r="AG56" s="42" t="s">
        <v>28</v>
      </c>
      <c r="AH56" s="42" t="s">
        <v>11</v>
      </c>
      <c r="AI56" s="15" t="s">
        <v>11</v>
      </c>
      <c r="AJ56" s="42" t="s">
        <v>112</v>
      </c>
      <c r="AK56" s="45" t="s">
        <v>28</v>
      </c>
      <c r="AL56" s="11"/>
      <c r="AM56" s="43" t="s">
        <v>11</v>
      </c>
      <c r="AN56" s="43" t="s">
        <v>112</v>
      </c>
      <c r="AO56" s="43" t="s">
        <v>112</v>
      </c>
      <c r="AP56" s="215" t="s">
        <v>11</v>
      </c>
      <c r="AQ56" s="354" t="s">
        <v>112</v>
      </c>
      <c r="AR56" s="309" t="s">
        <v>11</v>
      </c>
      <c r="AS56" s="309" t="s">
        <v>11</v>
      </c>
      <c r="AT56" s="309" t="s">
        <v>12</v>
      </c>
      <c r="AU56" s="309" t="s">
        <v>12</v>
      </c>
      <c r="AV56" s="305" t="s">
        <v>45</v>
      </c>
      <c r="AW56" s="305" t="s">
        <v>45</v>
      </c>
      <c r="AX56" s="305" t="s">
        <v>45</v>
      </c>
      <c r="AY56" s="305" t="s">
        <v>45</v>
      </c>
      <c r="AZ56" s="305" t="s">
        <v>45</v>
      </c>
      <c r="BA56" s="422" t="s">
        <v>35</v>
      </c>
      <c r="BB56" s="57" t="s">
        <v>23</v>
      </c>
      <c r="BC56" s="135" t="s">
        <v>11</v>
      </c>
      <c r="BD56" s="59" t="s">
        <v>20</v>
      </c>
      <c r="BE56" s="60" t="s">
        <v>11</v>
      </c>
      <c r="BF56" s="60" t="s">
        <v>20</v>
      </c>
      <c r="BG56" s="47" t="s">
        <v>38</v>
      </c>
      <c r="BH56" s="46" t="s">
        <v>45</v>
      </c>
      <c r="BI56" s="46" t="s">
        <v>45</v>
      </c>
      <c r="BJ56" s="1" t="s">
        <v>40</v>
      </c>
      <c r="BK56" s="1" t="s">
        <v>40</v>
      </c>
      <c r="BL56" s="49" t="s">
        <v>38</v>
      </c>
      <c r="BM56" s="2" t="s">
        <v>40</v>
      </c>
      <c r="BN56" s="46" t="s">
        <v>40</v>
      </c>
      <c r="BO56" s="136" t="s">
        <v>40</v>
      </c>
      <c r="BP56" s="61" t="s">
        <v>23</v>
      </c>
      <c r="BQ56" s="61" t="s">
        <v>23</v>
      </c>
      <c r="BS56" s="13"/>
      <c r="BT56" s="13"/>
    </row>
    <row r="57" spans="2:69" ht="11.25">
      <c r="B57" s="118">
        <v>1</v>
      </c>
      <c r="C57" s="503">
        <f aca="true" t="shared" si="28" ref="C57:C62">B57*V57*$H57/1000</f>
        <v>1.08</v>
      </c>
      <c r="D57" s="54"/>
      <c r="E57" s="123" t="s">
        <v>136</v>
      </c>
      <c r="F57" s="78" t="s">
        <v>186</v>
      </c>
      <c r="G57" s="179" t="s">
        <v>203</v>
      </c>
      <c r="H57" s="139">
        <v>40</v>
      </c>
      <c r="I57" s="271"/>
      <c r="J57" s="22">
        <v>11.8</v>
      </c>
      <c r="K57" s="22">
        <v>17.9</v>
      </c>
      <c r="L57" s="25">
        <v>0.315</v>
      </c>
      <c r="M57" s="248"/>
      <c r="N57" s="154"/>
      <c r="O57" s="208" t="str">
        <f aca="true" t="shared" si="29" ref="O57:O62">IF(M57&lt;1.1*((N57*29000)/P57)^0.5,1,"NO")</f>
        <v>NO</v>
      </c>
      <c r="P57" s="4">
        <v>50</v>
      </c>
      <c r="Q57" s="6">
        <v>1.5</v>
      </c>
      <c r="R57" s="4">
        <v>4</v>
      </c>
      <c r="S57" s="140">
        <v>4</v>
      </c>
      <c r="T57" s="4">
        <v>115</v>
      </c>
      <c r="U57" s="24">
        <v>285</v>
      </c>
      <c r="V57" s="22">
        <v>27</v>
      </c>
      <c r="W57" s="23">
        <f aca="true" t="shared" si="30" ref="W57:W62">MIN((V57/4)*12,U57)</f>
        <v>81</v>
      </c>
      <c r="X57" s="27">
        <f aca="true" t="shared" si="31" ref="X57:X62">J57*P57</f>
        <v>590</v>
      </c>
      <c r="Y57" s="28">
        <f aca="true" t="shared" si="32" ref="Y57:Y62">(J57*P57)/(0.85*R57*W57)</f>
        <v>2.142338416848221</v>
      </c>
      <c r="Z57" s="102">
        <f aca="true" t="shared" si="33" ref="Z57:Z62">(0.9*((J57*P57*(K57/2))+(0.85*R57*Y57*W57*(S57-(Y57/2)))))/12</f>
        <v>525.6382625272332</v>
      </c>
      <c r="AA57" s="162">
        <f aca="true" t="shared" si="34" ref="AA57:AA62">IF(I57="v",0.9,1)</f>
        <v>1</v>
      </c>
      <c r="AB57" s="209">
        <f aca="true" t="shared" si="35" ref="AB57:AB62">IF(O57="NO",AA57*0.6*P57*K57*L57,AA57*0.6*P57*K57*L57*O57)</f>
        <v>169.155</v>
      </c>
      <c r="AC57" s="6">
        <v>17.2</v>
      </c>
      <c r="AD57" s="143">
        <f aca="true" t="shared" si="36" ref="AD57:AD62">(X57/AC57)*2</f>
        <v>68.6046511627907</v>
      </c>
      <c r="AE57" s="4">
        <v>30</v>
      </c>
      <c r="AF57" s="4">
        <v>1.6</v>
      </c>
      <c r="AG57" s="141">
        <v>29</v>
      </c>
      <c r="AH57" s="141">
        <v>0</v>
      </c>
      <c r="AI57" s="144">
        <f aca="true" t="shared" si="37" ref="AI57:AI62">((AE57+AG57+AF57)*(U57/12))+H57+AH57</f>
        <v>1479.25</v>
      </c>
      <c r="AJ57" s="262">
        <v>9947</v>
      </c>
      <c r="AK57" s="24">
        <v>115</v>
      </c>
      <c r="AL57" s="23">
        <f aca="true" t="shared" si="38" ref="AL57:AL62">IF(0.25+(15/($F$7*V57*(U57/12))^0.5)&gt;0.5,IF(0.25+(15/($F$7*V57*(U57/12))^0.5)&gt;1,1,0.25+(15/($F$7*V57*(U57/12))^0.5)),0.5)</f>
        <v>0.6688539082916956</v>
      </c>
      <c r="AM57" s="143">
        <f aca="true" t="shared" si="39" ref="AM57:AM62">(AK57*AL57)*(U57/12)</f>
        <v>1826.8072370216935</v>
      </c>
      <c r="AN57" s="190">
        <v>5371</v>
      </c>
      <c r="AO57" s="290">
        <f aca="true" t="shared" si="40" ref="AO57:AO62">AN57*AL57</f>
        <v>3592.414341434697</v>
      </c>
      <c r="AP57" s="143">
        <f aca="true" t="shared" si="41" ref="AP57:AP62">(1.2*AI57)+(1.6*AM57)</f>
        <v>4697.991579234709</v>
      </c>
      <c r="AQ57" s="85">
        <f aca="true" t="shared" si="42" ref="AQ57:AQ62">(1.2*AJ57)+(1.6*AO57)</f>
        <v>17684.262946295516</v>
      </c>
      <c r="AR57" s="252">
        <f aca="true" t="shared" si="43" ref="AR57:AS62">1.4*AI57</f>
        <v>2070.95</v>
      </c>
      <c r="AS57" s="85">
        <f t="shared" si="43"/>
        <v>13925.8</v>
      </c>
      <c r="AT57" s="423">
        <v>2</v>
      </c>
      <c r="AU57" s="423">
        <v>25</v>
      </c>
      <c r="AV57" s="290">
        <f aca="true" t="shared" si="44" ref="AV57:AV62">AQ57*AT57*AU57/V57/1000</f>
        <v>32.74863508573244</v>
      </c>
      <c r="AW57" s="290">
        <f aca="true" t="shared" si="45" ref="AW57:AW62">((V57/2)/AU57)*AV57</f>
        <v>17.68426294629552</v>
      </c>
      <c r="AX57" s="290">
        <f aca="true" t="shared" si="46" ref="AX57:AX62">AP57*AT57*(V57-AT57)/2000</f>
        <v>117.44978948086774</v>
      </c>
      <c r="AY57" s="290">
        <f aca="true" t="shared" si="47" ref="AY57:AY62">MAX((AR57*V57*V57)/8000,(AP57*V57*V57)/8000)</f>
        <v>428.10448265776284</v>
      </c>
      <c r="AZ57" s="23">
        <f aca="true" t="shared" si="48" ref="AZ57:AZ62">MAX(AV57+AX57,AW57+AY57)</f>
        <v>445.78874560405836</v>
      </c>
      <c r="BA57" s="51">
        <f aca="true" t="shared" si="49" ref="BA57:BA62">(AQ57*AU57/V57/1000)+(AP57*V57/2000)</f>
        <v>79.79720386253479</v>
      </c>
      <c r="BB57" s="90" t="str">
        <f aca="true" t="shared" si="50" ref="BB57:BB62">IF(AND(Z57&gt;AZ57,AB57&gt;BA57),"OK","NG")</f>
        <v>OK</v>
      </c>
      <c r="BC57" s="103">
        <f aca="true" t="shared" si="51" ref="BC57:BC62">((AF57+AG57)*(U57/12))+H57</f>
        <v>766.75</v>
      </c>
      <c r="BD57" s="145">
        <f aca="true" t="shared" si="52" ref="BD57:BD62">BC57/12</f>
        <v>63.895833333333336</v>
      </c>
      <c r="BE57" s="143">
        <f aca="true" t="shared" si="53" ref="BE57:BE62">AK57*(U57/12)</f>
        <v>2731.25</v>
      </c>
      <c r="BF57" s="143">
        <f aca="true" t="shared" si="54" ref="BF57:BF62">BE57/12</f>
        <v>227.60416666666666</v>
      </c>
      <c r="BG57" s="31">
        <v>612</v>
      </c>
      <c r="BH57" s="68">
        <f aca="true" t="shared" si="55" ref="BH57:BH62">((BC57*V57*V57)/8000)+(AN57*AT57*AU57/V57/1000)</f>
        <v>79.81639004629629</v>
      </c>
      <c r="BI57" s="118"/>
      <c r="BJ57" s="126">
        <v>0</v>
      </c>
      <c r="BK57" s="237">
        <f aca="true" t="shared" si="56" ref="BK57:BK62">S57-Y57/2</f>
        <v>2.9288307915758898</v>
      </c>
      <c r="BL57" s="67">
        <v>1430</v>
      </c>
      <c r="BM57" s="162">
        <f aca="true" t="shared" si="57" ref="BM57:BM62">(5*(BD57)*((V57*12)^4))/(384*29000000*BG57)+((AJ57*(AT57*12)*((V57*12)/2)*((V57*12)^2-(AT57*12)^2-((V57*12)/2)^2))/(6*29000000*BG57*(V57*12)))</f>
        <v>0.604191411194219</v>
      </c>
      <c r="BN57" s="68">
        <f aca="true" t="shared" si="58" ref="BN57:BN62">(5*(BF57)*((V57*12)^4))/(384*29000000*BL57)+((AN57*(AT57*12)*((V57*12)/2)*((V57*12)^2-(AT57*12)^2-((V57*12)/2)^2))/(6*29000000*BL57*(V57*12)))</f>
        <v>0.8077709658819628</v>
      </c>
      <c r="BO57" s="102">
        <f aca="true" t="shared" si="59" ref="BO57:BO62">(V57/360)*12</f>
        <v>0.8999999999999999</v>
      </c>
      <c r="BP57" s="90" t="str">
        <f aca="true" t="shared" si="60" ref="BP57:BP62">IF(BM57&gt;BO57,"NG","OK")</f>
        <v>OK</v>
      </c>
      <c r="BQ57" s="90" t="str">
        <f aca="true" t="shared" si="61" ref="BQ57:BQ62">IF(BN57&gt;BO57,"NG","OK")</f>
        <v>OK</v>
      </c>
    </row>
    <row r="58" spans="2:69" ht="12" thickBot="1">
      <c r="B58" s="254">
        <v>1</v>
      </c>
      <c r="C58" s="504">
        <f t="shared" si="28"/>
        <v>1.08</v>
      </c>
      <c r="D58" s="54"/>
      <c r="E58" s="115" t="s">
        <v>137</v>
      </c>
      <c r="F58" s="405" t="s">
        <v>171</v>
      </c>
      <c r="G58" s="218" t="s">
        <v>203</v>
      </c>
      <c r="H58" s="218">
        <v>40</v>
      </c>
      <c r="I58" s="273"/>
      <c r="J58" s="100">
        <v>11.8</v>
      </c>
      <c r="K58" s="100">
        <v>17.9</v>
      </c>
      <c r="L58" s="116">
        <v>0.315</v>
      </c>
      <c r="M58" s="183"/>
      <c r="N58" s="156"/>
      <c r="O58" s="158" t="str">
        <f t="shared" si="29"/>
        <v>NO</v>
      </c>
      <c r="P58" s="109">
        <v>50</v>
      </c>
      <c r="Q58" s="95">
        <v>1.5</v>
      </c>
      <c r="R58" s="109">
        <v>4</v>
      </c>
      <c r="S58" s="100">
        <v>4</v>
      </c>
      <c r="T58" s="109">
        <v>115</v>
      </c>
      <c r="U58" s="108">
        <v>285</v>
      </c>
      <c r="V58" s="100">
        <v>27</v>
      </c>
      <c r="W58" s="107">
        <f t="shared" si="30"/>
        <v>81</v>
      </c>
      <c r="X58" s="105">
        <f t="shared" si="31"/>
        <v>590</v>
      </c>
      <c r="Y58" s="117">
        <f t="shared" si="32"/>
        <v>2.142338416848221</v>
      </c>
      <c r="Z58" s="113">
        <f t="shared" si="33"/>
        <v>525.6382625272332</v>
      </c>
      <c r="AA58" s="164">
        <f t="shared" si="34"/>
        <v>1</v>
      </c>
      <c r="AB58" s="129">
        <f t="shared" si="35"/>
        <v>169.155</v>
      </c>
      <c r="AC58" s="228">
        <v>17.2</v>
      </c>
      <c r="AD58" s="106">
        <f t="shared" si="36"/>
        <v>68.6046511627907</v>
      </c>
      <c r="AE58" s="109">
        <v>30</v>
      </c>
      <c r="AF58" s="109">
        <v>1.6</v>
      </c>
      <c r="AG58" s="183">
        <v>29</v>
      </c>
      <c r="AH58" s="183">
        <v>0</v>
      </c>
      <c r="AI58" s="133">
        <f t="shared" si="37"/>
        <v>1479.25</v>
      </c>
      <c r="AJ58" s="264">
        <v>9947</v>
      </c>
      <c r="AK58" s="108">
        <v>115</v>
      </c>
      <c r="AL58" s="107">
        <f t="shared" si="38"/>
        <v>0.6688539082916956</v>
      </c>
      <c r="AM58" s="106">
        <f t="shared" si="39"/>
        <v>1826.8072370216935</v>
      </c>
      <c r="AN58" s="266">
        <v>3438</v>
      </c>
      <c r="AO58" s="106">
        <f t="shared" si="40"/>
        <v>2299.5197367068495</v>
      </c>
      <c r="AP58" s="106">
        <f t="shared" si="41"/>
        <v>4697.991579234709</v>
      </c>
      <c r="AQ58" s="106">
        <f t="shared" si="42"/>
        <v>15615.63157873096</v>
      </c>
      <c r="AR58" s="106">
        <f t="shared" si="43"/>
        <v>2070.95</v>
      </c>
      <c r="AS58" s="106">
        <f t="shared" si="43"/>
        <v>13925.8</v>
      </c>
      <c r="AT58" s="266">
        <v>2</v>
      </c>
      <c r="AU58" s="266">
        <v>25</v>
      </c>
      <c r="AV58" s="106">
        <f t="shared" si="44"/>
        <v>28.917836256909183</v>
      </c>
      <c r="AW58" s="106">
        <f t="shared" si="45"/>
        <v>15.61563157873096</v>
      </c>
      <c r="AX58" s="106">
        <f t="shared" si="46"/>
        <v>117.44978948086774</v>
      </c>
      <c r="AY58" s="106">
        <f t="shared" si="47"/>
        <v>428.10448265776284</v>
      </c>
      <c r="AZ58" s="107">
        <f t="shared" si="48"/>
        <v>443.7201142364938</v>
      </c>
      <c r="BA58" s="129">
        <f t="shared" si="49"/>
        <v>77.88180444812316</v>
      </c>
      <c r="BB58" s="92" t="str">
        <f t="shared" si="50"/>
        <v>OK</v>
      </c>
      <c r="BC58" s="104">
        <f t="shared" si="51"/>
        <v>766.75</v>
      </c>
      <c r="BD58" s="106">
        <f t="shared" si="52"/>
        <v>63.895833333333336</v>
      </c>
      <c r="BE58" s="106">
        <f t="shared" si="53"/>
        <v>2731.25</v>
      </c>
      <c r="BF58" s="106">
        <f t="shared" si="54"/>
        <v>227.60416666666666</v>
      </c>
      <c r="BG58" s="108">
        <v>612</v>
      </c>
      <c r="BH58" s="111">
        <f t="shared" si="55"/>
        <v>76.23676041666667</v>
      </c>
      <c r="BI58" s="119"/>
      <c r="BJ58" s="125">
        <v>0</v>
      </c>
      <c r="BK58" s="238">
        <f t="shared" si="56"/>
        <v>2.9288307915758898</v>
      </c>
      <c r="BL58" s="67">
        <v>1430</v>
      </c>
      <c r="BM58" s="132">
        <f t="shared" si="57"/>
        <v>0.604191411194219</v>
      </c>
      <c r="BN58" s="88">
        <f t="shared" si="58"/>
        <v>0.8004849495810225</v>
      </c>
      <c r="BO58" s="211">
        <f t="shared" si="59"/>
        <v>0.8999999999999999</v>
      </c>
      <c r="BP58" s="89" t="str">
        <f t="shared" si="60"/>
        <v>OK</v>
      </c>
      <c r="BQ58" s="89" t="str">
        <f t="shared" si="61"/>
        <v>OK</v>
      </c>
    </row>
    <row r="59" spans="2:69" ht="11.25">
      <c r="B59" s="254">
        <v>1</v>
      </c>
      <c r="C59" s="503">
        <f t="shared" si="28"/>
        <v>0.273</v>
      </c>
      <c r="D59" s="54"/>
      <c r="E59" s="458" t="s">
        <v>204</v>
      </c>
      <c r="F59" s="178" t="s">
        <v>184</v>
      </c>
      <c r="G59" s="179" t="s">
        <v>110</v>
      </c>
      <c r="H59" s="179">
        <v>14</v>
      </c>
      <c r="I59" s="390" t="s">
        <v>89</v>
      </c>
      <c r="J59" s="80">
        <v>4.16</v>
      </c>
      <c r="K59" s="80">
        <v>11.9</v>
      </c>
      <c r="L59" s="296">
        <v>0.2</v>
      </c>
      <c r="M59" s="410">
        <v>54.3</v>
      </c>
      <c r="N59" s="391">
        <v>5</v>
      </c>
      <c r="O59" s="392">
        <f t="shared" si="29"/>
        <v>1</v>
      </c>
      <c r="P59" s="297">
        <v>50</v>
      </c>
      <c r="Q59" s="64">
        <v>1.5</v>
      </c>
      <c r="R59" s="297">
        <v>4</v>
      </c>
      <c r="S59" s="80">
        <v>4</v>
      </c>
      <c r="T59" s="297">
        <v>115</v>
      </c>
      <c r="U59" s="410">
        <v>78.75</v>
      </c>
      <c r="V59" s="80">
        <v>19.5</v>
      </c>
      <c r="W59" s="82">
        <f t="shared" si="30"/>
        <v>58.5</v>
      </c>
      <c r="X59" s="83">
        <f t="shared" si="31"/>
        <v>208</v>
      </c>
      <c r="Y59" s="84">
        <f t="shared" si="32"/>
        <v>1.0457516339869282</v>
      </c>
      <c r="Z59" s="211">
        <f t="shared" si="33"/>
        <v>147.063137254902</v>
      </c>
      <c r="AA59" s="132">
        <f t="shared" si="34"/>
        <v>0.9</v>
      </c>
      <c r="AB59" s="86">
        <f t="shared" si="35"/>
        <v>64.26</v>
      </c>
      <c r="AC59" s="487">
        <v>17.2</v>
      </c>
      <c r="AD59" s="85">
        <f t="shared" si="36"/>
        <v>24.186046511627907</v>
      </c>
      <c r="AE59" s="297">
        <v>30</v>
      </c>
      <c r="AF59" s="297">
        <v>1.6</v>
      </c>
      <c r="AG59" s="410">
        <v>29</v>
      </c>
      <c r="AH59" s="410">
        <v>0</v>
      </c>
      <c r="AI59" s="454">
        <f t="shared" si="37"/>
        <v>411.6875</v>
      </c>
      <c r="AJ59" s="197">
        <v>8854</v>
      </c>
      <c r="AK59" s="410">
        <v>115</v>
      </c>
      <c r="AL59" s="82">
        <f t="shared" si="38"/>
        <v>1</v>
      </c>
      <c r="AM59" s="85">
        <f t="shared" si="39"/>
        <v>754.6875</v>
      </c>
      <c r="AN59" s="185">
        <v>3145</v>
      </c>
      <c r="AO59" s="85">
        <f t="shared" si="40"/>
        <v>3145</v>
      </c>
      <c r="AP59" s="85">
        <f t="shared" si="41"/>
        <v>1701.525</v>
      </c>
      <c r="AQ59" s="85">
        <f t="shared" si="42"/>
        <v>15656.8</v>
      </c>
      <c r="AR59" s="85">
        <f t="shared" si="43"/>
        <v>576.3625</v>
      </c>
      <c r="AS59" s="85">
        <f t="shared" si="43"/>
        <v>12395.599999999999</v>
      </c>
      <c r="AT59" s="185">
        <v>2</v>
      </c>
      <c r="AU59" s="185">
        <v>17.5</v>
      </c>
      <c r="AV59" s="85">
        <f t="shared" si="44"/>
        <v>28.10194871794872</v>
      </c>
      <c r="AW59" s="85">
        <f t="shared" si="45"/>
        <v>15.6568</v>
      </c>
      <c r="AX59" s="85">
        <f t="shared" si="46"/>
        <v>29.7766875</v>
      </c>
      <c r="AY59" s="85">
        <f t="shared" si="47"/>
        <v>80.87561015625</v>
      </c>
      <c r="AZ59" s="82">
        <f t="shared" si="48"/>
        <v>96.53241015625001</v>
      </c>
      <c r="BA59" s="86">
        <f t="shared" si="49"/>
        <v>30.64084310897436</v>
      </c>
      <c r="BB59" s="89" t="str">
        <f t="shared" si="50"/>
        <v>OK</v>
      </c>
      <c r="BC59" s="114">
        <f t="shared" si="51"/>
        <v>214.8125</v>
      </c>
      <c r="BD59" s="85">
        <f t="shared" si="52"/>
        <v>17.901041666666668</v>
      </c>
      <c r="BE59" s="85">
        <f t="shared" si="53"/>
        <v>754.6875</v>
      </c>
      <c r="BF59" s="85">
        <f t="shared" si="54"/>
        <v>62.890625</v>
      </c>
      <c r="BG59" s="410">
        <v>88.6</v>
      </c>
      <c r="BH59" s="68">
        <f t="shared" si="55"/>
        <v>15.855178435496795</v>
      </c>
      <c r="BI59" s="362"/>
      <c r="BJ59" s="125">
        <v>0</v>
      </c>
      <c r="BK59" s="256">
        <f t="shared" si="56"/>
        <v>3.477124183006536</v>
      </c>
      <c r="BL59" s="425">
        <v>270</v>
      </c>
      <c r="BM59" s="132">
        <f t="shared" si="57"/>
        <v>0.5510465735259509</v>
      </c>
      <c r="BN59" s="88">
        <f t="shared" si="58"/>
        <v>0.3460913700947378</v>
      </c>
      <c r="BO59" s="130">
        <f t="shared" si="59"/>
        <v>0.65</v>
      </c>
      <c r="BP59" s="91" t="str">
        <f t="shared" si="60"/>
        <v>OK</v>
      </c>
      <c r="BQ59" s="91" t="str">
        <f t="shared" si="61"/>
        <v>OK</v>
      </c>
    </row>
    <row r="60" spans="2:69" ht="12" thickBot="1">
      <c r="B60" s="254">
        <v>1</v>
      </c>
      <c r="C60" s="507">
        <f t="shared" si="28"/>
        <v>0.273</v>
      </c>
      <c r="D60" s="54"/>
      <c r="E60" s="115" t="s">
        <v>205</v>
      </c>
      <c r="F60" s="405" t="s">
        <v>161</v>
      </c>
      <c r="G60" s="218" t="s">
        <v>110</v>
      </c>
      <c r="H60" s="218">
        <v>14</v>
      </c>
      <c r="I60" s="273" t="s">
        <v>89</v>
      </c>
      <c r="J60" s="100">
        <v>4.16</v>
      </c>
      <c r="K60" s="100">
        <v>11.9</v>
      </c>
      <c r="L60" s="116">
        <v>0.2</v>
      </c>
      <c r="M60" s="183">
        <v>54.3</v>
      </c>
      <c r="N60" s="156">
        <v>5</v>
      </c>
      <c r="O60" s="158">
        <f t="shared" si="29"/>
        <v>1</v>
      </c>
      <c r="P60" s="109">
        <v>50</v>
      </c>
      <c r="Q60" s="95">
        <v>1.5</v>
      </c>
      <c r="R60" s="109">
        <v>4</v>
      </c>
      <c r="S60" s="100">
        <v>4</v>
      </c>
      <c r="T60" s="109">
        <v>115</v>
      </c>
      <c r="U60" s="108">
        <v>78.75</v>
      </c>
      <c r="V60" s="100">
        <v>19.5</v>
      </c>
      <c r="W60" s="107">
        <f t="shared" si="30"/>
        <v>58.5</v>
      </c>
      <c r="X60" s="105">
        <f t="shared" si="31"/>
        <v>208</v>
      </c>
      <c r="Y60" s="117">
        <f t="shared" si="32"/>
        <v>1.0457516339869282</v>
      </c>
      <c r="Z60" s="113">
        <f t="shared" si="33"/>
        <v>147.063137254902</v>
      </c>
      <c r="AA60" s="164">
        <f t="shared" si="34"/>
        <v>0.9</v>
      </c>
      <c r="AB60" s="129">
        <f t="shared" si="35"/>
        <v>64.26</v>
      </c>
      <c r="AC60" s="95">
        <v>17.2</v>
      </c>
      <c r="AD60" s="106">
        <f t="shared" si="36"/>
        <v>24.186046511627907</v>
      </c>
      <c r="AE60" s="109">
        <v>30</v>
      </c>
      <c r="AF60" s="109">
        <v>1.6</v>
      </c>
      <c r="AG60" s="183">
        <v>29</v>
      </c>
      <c r="AH60" s="183">
        <v>0</v>
      </c>
      <c r="AI60" s="133">
        <f t="shared" si="37"/>
        <v>411.6875</v>
      </c>
      <c r="AJ60" s="267">
        <v>8854</v>
      </c>
      <c r="AK60" s="183">
        <v>115</v>
      </c>
      <c r="AL60" s="148">
        <f t="shared" si="38"/>
        <v>1</v>
      </c>
      <c r="AM60" s="106">
        <f t="shared" si="39"/>
        <v>754.6875</v>
      </c>
      <c r="AN60" s="266">
        <v>3145</v>
      </c>
      <c r="AO60" s="376">
        <f t="shared" si="40"/>
        <v>3145</v>
      </c>
      <c r="AP60" s="106">
        <f t="shared" si="41"/>
        <v>1701.525</v>
      </c>
      <c r="AQ60" s="106">
        <f t="shared" si="42"/>
        <v>15656.8</v>
      </c>
      <c r="AR60" s="106">
        <f t="shared" si="43"/>
        <v>576.3625</v>
      </c>
      <c r="AS60" s="106">
        <f t="shared" si="43"/>
        <v>12395.599999999999</v>
      </c>
      <c r="AT60" s="266">
        <v>2</v>
      </c>
      <c r="AU60" s="266">
        <v>17.5</v>
      </c>
      <c r="AV60" s="376">
        <f t="shared" si="44"/>
        <v>28.10194871794872</v>
      </c>
      <c r="AW60" s="376">
        <f t="shared" si="45"/>
        <v>15.6568</v>
      </c>
      <c r="AX60" s="376">
        <f t="shared" si="46"/>
        <v>29.7766875</v>
      </c>
      <c r="AY60" s="376">
        <f t="shared" si="47"/>
        <v>80.87561015625</v>
      </c>
      <c r="AZ60" s="148">
        <f t="shared" si="48"/>
        <v>96.53241015625001</v>
      </c>
      <c r="BA60" s="308">
        <f t="shared" si="49"/>
        <v>30.64084310897436</v>
      </c>
      <c r="BB60" s="385" t="str">
        <f t="shared" si="50"/>
        <v>OK</v>
      </c>
      <c r="BC60" s="378">
        <f t="shared" si="51"/>
        <v>214.8125</v>
      </c>
      <c r="BD60" s="106">
        <f t="shared" si="52"/>
        <v>17.901041666666668</v>
      </c>
      <c r="BE60" s="106">
        <f t="shared" si="53"/>
        <v>754.6875</v>
      </c>
      <c r="BF60" s="106">
        <f t="shared" si="54"/>
        <v>62.890625</v>
      </c>
      <c r="BG60" s="183">
        <v>88.6</v>
      </c>
      <c r="BH60" s="380">
        <f t="shared" si="55"/>
        <v>15.855178435496795</v>
      </c>
      <c r="BI60" s="427"/>
      <c r="BJ60" s="69">
        <v>0</v>
      </c>
      <c r="BK60" s="238">
        <f t="shared" si="56"/>
        <v>3.477124183006536</v>
      </c>
      <c r="BL60" s="87">
        <v>270</v>
      </c>
      <c r="BM60" s="132">
        <f t="shared" si="57"/>
        <v>0.5510465735259509</v>
      </c>
      <c r="BN60" s="88">
        <f t="shared" si="58"/>
        <v>0.3460913700947378</v>
      </c>
      <c r="BO60" s="211">
        <f t="shared" si="59"/>
        <v>0.65</v>
      </c>
      <c r="BP60" s="89" t="str">
        <f t="shared" si="60"/>
        <v>OK</v>
      </c>
      <c r="BQ60" s="89" t="str">
        <f t="shared" si="61"/>
        <v>OK</v>
      </c>
    </row>
    <row r="61" spans="2:69" ht="11.25">
      <c r="B61" s="119">
        <v>1</v>
      </c>
      <c r="C61" s="503">
        <f t="shared" si="28"/>
        <v>0.273</v>
      </c>
      <c r="D61" s="54"/>
      <c r="E61" s="458" t="s">
        <v>175</v>
      </c>
      <c r="F61" s="178" t="s">
        <v>206</v>
      </c>
      <c r="G61" s="179" t="s">
        <v>110</v>
      </c>
      <c r="H61" s="179">
        <v>14</v>
      </c>
      <c r="I61" s="390" t="s">
        <v>89</v>
      </c>
      <c r="J61" s="80">
        <v>4.16</v>
      </c>
      <c r="K61" s="80">
        <v>11.9</v>
      </c>
      <c r="L61" s="296">
        <v>0.2</v>
      </c>
      <c r="M61" s="410">
        <v>54.3</v>
      </c>
      <c r="N61" s="391">
        <v>5</v>
      </c>
      <c r="O61" s="392">
        <f t="shared" si="29"/>
        <v>1</v>
      </c>
      <c r="P61" s="297">
        <v>50</v>
      </c>
      <c r="Q61" s="64">
        <v>1.5</v>
      </c>
      <c r="R61" s="297">
        <v>4</v>
      </c>
      <c r="S61" s="80">
        <v>4</v>
      </c>
      <c r="T61" s="297">
        <v>115</v>
      </c>
      <c r="U61" s="81">
        <v>78.75</v>
      </c>
      <c r="V61" s="80">
        <v>19.5</v>
      </c>
      <c r="W61" s="82">
        <f t="shared" si="30"/>
        <v>58.5</v>
      </c>
      <c r="X61" s="83">
        <f t="shared" si="31"/>
        <v>208</v>
      </c>
      <c r="Y61" s="84">
        <f t="shared" si="32"/>
        <v>1.0457516339869282</v>
      </c>
      <c r="Z61" s="211">
        <f t="shared" si="33"/>
        <v>147.063137254902</v>
      </c>
      <c r="AA61" s="132">
        <f t="shared" si="34"/>
        <v>0.9</v>
      </c>
      <c r="AB61" s="86">
        <f t="shared" si="35"/>
        <v>64.26</v>
      </c>
      <c r="AC61" s="487">
        <v>17.2</v>
      </c>
      <c r="AD61" s="85">
        <f t="shared" si="36"/>
        <v>24.186046511627907</v>
      </c>
      <c r="AE61" s="297">
        <v>30</v>
      </c>
      <c r="AF61" s="297">
        <v>1.6</v>
      </c>
      <c r="AG61" s="410">
        <v>29</v>
      </c>
      <c r="AH61" s="410">
        <v>0</v>
      </c>
      <c r="AI61" s="454">
        <f t="shared" si="37"/>
        <v>411.6875</v>
      </c>
      <c r="AJ61" s="197">
        <v>8854</v>
      </c>
      <c r="AK61" s="410">
        <v>115</v>
      </c>
      <c r="AL61" s="82">
        <f t="shared" si="38"/>
        <v>1</v>
      </c>
      <c r="AM61" s="85">
        <f t="shared" si="39"/>
        <v>754.6875</v>
      </c>
      <c r="AN61" s="185">
        <v>3145</v>
      </c>
      <c r="AO61" s="85">
        <f t="shared" si="40"/>
        <v>3145</v>
      </c>
      <c r="AP61" s="85">
        <f t="shared" si="41"/>
        <v>1701.525</v>
      </c>
      <c r="AQ61" s="85">
        <f t="shared" si="42"/>
        <v>15656.8</v>
      </c>
      <c r="AR61" s="85">
        <f t="shared" si="43"/>
        <v>576.3625</v>
      </c>
      <c r="AS61" s="85">
        <f t="shared" si="43"/>
        <v>12395.599999999999</v>
      </c>
      <c r="AT61" s="185">
        <v>2</v>
      </c>
      <c r="AU61" s="185">
        <v>17.5</v>
      </c>
      <c r="AV61" s="85">
        <f t="shared" si="44"/>
        <v>28.10194871794872</v>
      </c>
      <c r="AW61" s="85">
        <f t="shared" si="45"/>
        <v>15.6568</v>
      </c>
      <c r="AX61" s="85">
        <f t="shared" si="46"/>
        <v>29.7766875</v>
      </c>
      <c r="AY61" s="85">
        <f t="shared" si="47"/>
        <v>80.87561015625</v>
      </c>
      <c r="AZ61" s="82">
        <f t="shared" si="48"/>
        <v>96.53241015625001</v>
      </c>
      <c r="BA61" s="86">
        <f t="shared" si="49"/>
        <v>30.64084310897436</v>
      </c>
      <c r="BB61" s="89" t="str">
        <f t="shared" si="50"/>
        <v>OK</v>
      </c>
      <c r="BC61" s="114">
        <f t="shared" si="51"/>
        <v>214.8125</v>
      </c>
      <c r="BD61" s="85">
        <f t="shared" si="52"/>
        <v>17.901041666666668</v>
      </c>
      <c r="BE61" s="85">
        <f t="shared" si="53"/>
        <v>754.6875</v>
      </c>
      <c r="BF61" s="85">
        <f t="shared" si="54"/>
        <v>62.890625</v>
      </c>
      <c r="BG61" s="410">
        <v>88.6</v>
      </c>
      <c r="BH61" s="88">
        <f t="shared" si="55"/>
        <v>15.855178435496795</v>
      </c>
      <c r="BI61" s="362"/>
      <c r="BJ61" s="125">
        <v>0</v>
      </c>
      <c r="BK61" s="256">
        <f t="shared" si="56"/>
        <v>3.477124183006536</v>
      </c>
      <c r="BL61" s="425">
        <v>270</v>
      </c>
      <c r="BM61" s="132">
        <f t="shared" si="57"/>
        <v>0.5510465735259509</v>
      </c>
      <c r="BN61" s="88">
        <f t="shared" si="58"/>
        <v>0.3460913700947378</v>
      </c>
      <c r="BO61" s="130">
        <f t="shared" si="59"/>
        <v>0.65</v>
      </c>
      <c r="BP61" s="91" t="str">
        <f t="shared" si="60"/>
        <v>OK</v>
      </c>
      <c r="BQ61" s="91" t="str">
        <f t="shared" si="61"/>
        <v>OK</v>
      </c>
    </row>
    <row r="62" spans="2:69" ht="12" thickBot="1">
      <c r="B62" s="381">
        <v>1</v>
      </c>
      <c r="C62" s="504">
        <f t="shared" si="28"/>
        <v>0.273</v>
      </c>
      <c r="D62" s="54"/>
      <c r="E62" s="115" t="s">
        <v>177</v>
      </c>
      <c r="F62" s="62" t="s">
        <v>207</v>
      </c>
      <c r="G62" s="115" t="s">
        <v>110</v>
      </c>
      <c r="H62" s="218">
        <v>14</v>
      </c>
      <c r="I62" s="273" t="s">
        <v>89</v>
      </c>
      <c r="J62" s="100">
        <v>4.16</v>
      </c>
      <c r="K62" s="100">
        <v>11.9</v>
      </c>
      <c r="L62" s="116">
        <v>0.2</v>
      </c>
      <c r="M62" s="183">
        <v>54.3</v>
      </c>
      <c r="N62" s="156">
        <v>5</v>
      </c>
      <c r="O62" s="373">
        <f t="shared" si="29"/>
        <v>1</v>
      </c>
      <c r="P62" s="286">
        <v>50</v>
      </c>
      <c r="Q62" s="36">
        <v>1.5</v>
      </c>
      <c r="R62" s="286">
        <v>4</v>
      </c>
      <c r="S62" s="306">
        <v>4</v>
      </c>
      <c r="T62" s="286">
        <v>115</v>
      </c>
      <c r="U62" s="35">
        <v>78.75</v>
      </c>
      <c r="V62" s="306">
        <v>19.5</v>
      </c>
      <c r="W62" s="148">
        <f t="shared" si="30"/>
        <v>58.5</v>
      </c>
      <c r="X62" s="149">
        <f t="shared" si="31"/>
        <v>208</v>
      </c>
      <c r="Y62" s="150">
        <f t="shared" si="32"/>
        <v>1.0457516339869282</v>
      </c>
      <c r="Z62" s="384">
        <f t="shared" si="33"/>
        <v>147.063137254902</v>
      </c>
      <c r="AA62" s="375">
        <f t="shared" si="34"/>
        <v>0.9</v>
      </c>
      <c r="AB62" s="308">
        <f t="shared" si="35"/>
        <v>64.26</v>
      </c>
      <c r="AC62" s="36">
        <v>17.2</v>
      </c>
      <c r="AD62" s="106">
        <f t="shared" si="36"/>
        <v>24.186046511627907</v>
      </c>
      <c r="AE62" s="109">
        <v>30</v>
      </c>
      <c r="AF62" s="109">
        <v>1.6</v>
      </c>
      <c r="AG62" s="183">
        <v>29</v>
      </c>
      <c r="AH62" s="183">
        <v>0</v>
      </c>
      <c r="AI62" s="133">
        <f t="shared" si="37"/>
        <v>411.6875</v>
      </c>
      <c r="AJ62" s="267">
        <v>8854</v>
      </c>
      <c r="AK62" s="183">
        <v>115</v>
      </c>
      <c r="AL62" s="107">
        <f t="shared" si="38"/>
        <v>1</v>
      </c>
      <c r="AM62" s="106">
        <f t="shared" si="39"/>
        <v>754.6875</v>
      </c>
      <c r="AN62" s="266">
        <v>3145</v>
      </c>
      <c r="AO62" s="376">
        <f t="shared" si="40"/>
        <v>3145</v>
      </c>
      <c r="AP62" s="106">
        <f t="shared" si="41"/>
        <v>1701.525</v>
      </c>
      <c r="AQ62" s="106">
        <f t="shared" si="42"/>
        <v>15656.8</v>
      </c>
      <c r="AR62" s="106">
        <f t="shared" si="43"/>
        <v>576.3625</v>
      </c>
      <c r="AS62" s="106">
        <f t="shared" si="43"/>
        <v>12395.599999999999</v>
      </c>
      <c r="AT62" s="266">
        <v>2</v>
      </c>
      <c r="AU62" s="266">
        <v>17.5</v>
      </c>
      <c r="AV62" s="376">
        <f t="shared" si="44"/>
        <v>28.10194871794872</v>
      </c>
      <c r="AW62" s="376">
        <f t="shared" si="45"/>
        <v>15.6568</v>
      </c>
      <c r="AX62" s="376">
        <f t="shared" si="46"/>
        <v>29.7766875</v>
      </c>
      <c r="AY62" s="376">
        <f t="shared" si="47"/>
        <v>80.87561015625</v>
      </c>
      <c r="AZ62" s="148">
        <f t="shared" si="48"/>
        <v>96.53241015625001</v>
      </c>
      <c r="BA62" s="308">
        <f t="shared" si="49"/>
        <v>30.64084310897436</v>
      </c>
      <c r="BB62" s="385" t="str">
        <f t="shared" si="50"/>
        <v>OK</v>
      </c>
      <c r="BC62" s="378">
        <f t="shared" si="51"/>
        <v>214.8125</v>
      </c>
      <c r="BD62" s="106">
        <f t="shared" si="52"/>
        <v>17.901041666666668</v>
      </c>
      <c r="BE62" s="106">
        <f t="shared" si="53"/>
        <v>754.6875</v>
      </c>
      <c r="BF62" s="106">
        <f t="shared" si="54"/>
        <v>62.890625</v>
      </c>
      <c r="BG62" s="183">
        <v>88.6</v>
      </c>
      <c r="BH62" s="380">
        <f t="shared" si="55"/>
        <v>15.855178435496795</v>
      </c>
      <c r="BI62" s="151"/>
      <c r="BJ62" s="18">
        <v>0</v>
      </c>
      <c r="BK62" s="430">
        <f t="shared" si="56"/>
        <v>3.477124183006536</v>
      </c>
      <c r="BL62" s="368">
        <v>270</v>
      </c>
      <c r="BM62" s="375">
        <f t="shared" si="57"/>
        <v>0.5510465735259509</v>
      </c>
      <c r="BN62" s="380">
        <f t="shared" si="58"/>
        <v>0.3460913700947378</v>
      </c>
      <c r="BO62" s="384">
        <f t="shared" si="59"/>
        <v>0.65</v>
      </c>
      <c r="BP62" s="385" t="str">
        <f t="shared" si="60"/>
        <v>OK</v>
      </c>
      <c r="BQ62" s="385" t="str">
        <f t="shared" si="61"/>
        <v>OK</v>
      </c>
    </row>
    <row r="64" spans="5:12" ht="12" thickBot="1">
      <c r="E64" s="276"/>
      <c r="F64" s="277" t="s">
        <v>120</v>
      </c>
      <c r="G64" s="278"/>
      <c r="H64" s="278"/>
      <c r="I64" s="279" t="s">
        <v>121</v>
      </c>
      <c r="J64" s="279"/>
      <c r="K64" s="280" t="s">
        <v>122</v>
      </c>
      <c r="L64" s="167"/>
    </row>
    <row r="65" spans="5:12" ht="12" thickTop="1">
      <c r="E65" s="241"/>
      <c r="H65" s="8" t="s">
        <v>21</v>
      </c>
      <c r="J65" s="281"/>
      <c r="K65" s="167"/>
      <c r="L65" s="167"/>
    </row>
    <row r="66" spans="5:12" ht="11.25">
      <c r="E66" s="276"/>
      <c r="F66" s="8"/>
      <c r="J66" s="13"/>
      <c r="K66" s="10"/>
      <c r="L66" s="13"/>
    </row>
    <row r="67" spans="2:61" ht="12" thickBot="1">
      <c r="B67" s="36"/>
      <c r="E67" s="411"/>
      <c r="F67" s="411"/>
      <c r="G67" s="36"/>
      <c r="H67" s="36"/>
      <c r="I67" s="36"/>
      <c r="J67" s="408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BH67" s="13"/>
      <c r="BI67" s="13"/>
    </row>
    <row r="68" spans="2:61" s="174" customFormat="1" ht="12" thickBot="1">
      <c r="B68" s="138"/>
      <c r="C68" s="502"/>
      <c r="D68" s="175"/>
      <c r="E68" s="416" t="s">
        <v>210</v>
      </c>
      <c r="F68" s="432" t="s">
        <v>212</v>
      </c>
      <c r="G68" s="177"/>
      <c r="H68" s="177"/>
      <c r="I68" s="177"/>
      <c r="J68" s="177"/>
      <c r="K68" s="389"/>
      <c r="L68" s="177"/>
      <c r="M68" s="389"/>
      <c r="N68" s="439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415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Q68" s="415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413"/>
      <c r="BG68" s="488"/>
      <c r="BH68" s="167"/>
      <c r="BI68" s="167"/>
    </row>
    <row r="69" spans="2:61" ht="11.25">
      <c r="B69" s="446" t="s">
        <v>244</v>
      </c>
      <c r="C69" s="497" t="s">
        <v>56</v>
      </c>
      <c r="D69" s="54"/>
      <c r="E69" s="76" t="s">
        <v>213</v>
      </c>
      <c r="F69" s="56" t="s">
        <v>214</v>
      </c>
      <c r="G69" s="6" t="s">
        <v>58</v>
      </c>
      <c r="H69" s="6"/>
      <c r="I69" s="188"/>
      <c r="J69" s="6"/>
      <c r="K69" s="6"/>
      <c r="L69" s="6"/>
      <c r="M69" s="220"/>
      <c r="N69" s="243"/>
      <c r="O69" s="6"/>
      <c r="P69" s="3"/>
      <c r="Q69" s="38" t="s">
        <v>34</v>
      </c>
      <c r="R69" s="70"/>
      <c r="S69" s="26" t="s">
        <v>61</v>
      </c>
      <c r="T69" s="50"/>
      <c r="U69" s="5" t="s">
        <v>25</v>
      </c>
      <c r="V69" s="4"/>
      <c r="W69" s="4"/>
      <c r="X69" s="14" t="s">
        <v>49</v>
      </c>
      <c r="Y69" s="7"/>
      <c r="Z69" s="37"/>
      <c r="AA69" s="163" t="s">
        <v>96</v>
      </c>
      <c r="AB69" s="159"/>
      <c r="AC69" s="38" t="s">
        <v>17</v>
      </c>
      <c r="AD69" s="4"/>
      <c r="AE69" s="15" t="s">
        <v>7</v>
      </c>
      <c r="AF69" s="15" t="s">
        <v>7</v>
      </c>
      <c r="AG69" s="259" t="s">
        <v>7</v>
      </c>
      <c r="AH69" s="14" t="s">
        <v>7</v>
      </c>
      <c r="AI69" s="15" t="s">
        <v>7</v>
      </c>
      <c r="AJ69" s="45" t="s">
        <v>8</v>
      </c>
      <c r="AK69" s="98" t="s">
        <v>8</v>
      </c>
      <c r="AL69" s="43" t="s">
        <v>8</v>
      </c>
      <c r="AM69" s="43" t="s">
        <v>97</v>
      </c>
      <c r="AN69" s="12" t="s">
        <v>98</v>
      </c>
      <c r="AO69" s="3"/>
      <c r="AP69" s="7"/>
      <c r="AQ69" s="39" t="s">
        <v>50</v>
      </c>
      <c r="AR69" s="42" t="s">
        <v>7</v>
      </c>
      <c r="AS69" s="14" t="s">
        <v>7</v>
      </c>
      <c r="AT69" s="15" t="s">
        <v>8</v>
      </c>
      <c r="AU69" s="15" t="s">
        <v>8</v>
      </c>
      <c r="AV69" s="42" t="s">
        <v>34</v>
      </c>
      <c r="AW69" s="41" t="s">
        <v>14</v>
      </c>
      <c r="AX69" s="41" t="s">
        <v>51</v>
      </c>
      <c r="AY69" s="15" t="s">
        <v>9</v>
      </c>
      <c r="AZ69" s="15" t="s">
        <v>10</v>
      </c>
      <c r="BA69" s="17" t="s">
        <v>29</v>
      </c>
      <c r="BB69" s="42" t="s">
        <v>41</v>
      </c>
      <c r="BC69" s="41" t="s">
        <v>42</v>
      </c>
      <c r="BD69" s="57" t="s">
        <v>99</v>
      </c>
      <c r="BE69" s="55" t="s">
        <v>7</v>
      </c>
      <c r="BF69" s="56" t="s">
        <v>8</v>
      </c>
      <c r="BG69" s="460"/>
      <c r="BH69" s="13"/>
      <c r="BI69" s="13"/>
    </row>
    <row r="70" spans="2:61" ht="11.25">
      <c r="B70" s="93"/>
      <c r="C70" s="498"/>
      <c r="D70" s="54"/>
      <c r="E70" s="76"/>
      <c r="F70" s="44"/>
      <c r="G70" s="64"/>
      <c r="H70" s="64"/>
      <c r="I70" s="65"/>
      <c r="J70" s="64"/>
      <c r="K70" s="64"/>
      <c r="L70" s="64"/>
      <c r="M70" s="247"/>
      <c r="N70" s="244"/>
      <c r="O70" s="64"/>
      <c r="P70" s="69"/>
      <c r="Q70" s="14" t="s">
        <v>1</v>
      </c>
      <c r="R70" s="71"/>
      <c r="S70" s="72" t="s">
        <v>62</v>
      </c>
      <c r="T70" s="72" t="s">
        <v>63</v>
      </c>
      <c r="U70" s="12" t="s">
        <v>26</v>
      </c>
      <c r="V70" s="11"/>
      <c r="W70" s="11"/>
      <c r="Y70" s="16"/>
      <c r="Z70" s="41" t="s">
        <v>51</v>
      </c>
      <c r="AA70" s="160" t="s">
        <v>74</v>
      </c>
      <c r="AB70" s="41" t="s">
        <v>52</v>
      </c>
      <c r="AC70" s="14" t="s">
        <v>18</v>
      </c>
      <c r="AD70" s="15" t="s">
        <v>30</v>
      </c>
      <c r="AE70" s="15" t="s">
        <v>70</v>
      </c>
      <c r="AF70" s="15" t="s">
        <v>34</v>
      </c>
      <c r="AG70" s="15" t="s">
        <v>61</v>
      </c>
      <c r="AH70" s="98" t="s">
        <v>87</v>
      </c>
      <c r="AI70" s="15" t="s">
        <v>62</v>
      </c>
      <c r="AJ70" s="10"/>
      <c r="AK70" s="98" t="s">
        <v>67</v>
      </c>
      <c r="AL70" s="43" t="s">
        <v>81</v>
      </c>
      <c r="AM70" s="43" t="s">
        <v>15</v>
      </c>
      <c r="AN70" s="12"/>
      <c r="AO70" s="42" t="s">
        <v>14</v>
      </c>
      <c r="AP70" s="17" t="s">
        <v>36</v>
      </c>
      <c r="AQ70" s="44" t="s">
        <v>37</v>
      </c>
      <c r="AR70" s="42" t="s">
        <v>85</v>
      </c>
      <c r="AS70" s="13"/>
      <c r="AT70" s="11"/>
      <c r="AU70" s="11"/>
      <c r="AV70" s="42" t="s">
        <v>33</v>
      </c>
      <c r="AW70" s="17" t="s">
        <v>85</v>
      </c>
      <c r="AX70" s="40" t="s">
        <v>34</v>
      </c>
      <c r="AY70" s="10"/>
      <c r="AZ70" s="13"/>
      <c r="BA70" s="17" t="s">
        <v>46</v>
      </c>
      <c r="BB70" s="42" t="s">
        <v>13</v>
      </c>
      <c r="BC70" s="41"/>
      <c r="BD70" s="54"/>
      <c r="BE70" s="58" t="s">
        <v>39</v>
      </c>
      <c r="BF70" s="44" t="s">
        <v>39</v>
      </c>
      <c r="BG70" s="460"/>
      <c r="BH70" s="13"/>
      <c r="BI70" s="13"/>
    </row>
    <row r="71" spans="2:61" ht="11.25">
      <c r="B71" s="93"/>
      <c r="C71" s="498"/>
      <c r="D71" s="54"/>
      <c r="E71" s="76"/>
      <c r="F71" s="44"/>
      <c r="G71" s="73" t="s">
        <v>59</v>
      </c>
      <c r="H71" s="10" t="s">
        <v>56</v>
      </c>
      <c r="I71" s="269" t="s">
        <v>88</v>
      </c>
      <c r="J71" s="15" t="s">
        <v>47</v>
      </c>
      <c r="K71" s="15" t="s">
        <v>0</v>
      </c>
      <c r="L71" s="15" t="s">
        <v>2</v>
      </c>
      <c r="M71" s="43" t="s">
        <v>90</v>
      </c>
      <c r="N71" s="245" t="s">
        <v>91</v>
      </c>
      <c r="O71" s="15" t="s">
        <v>95</v>
      </c>
      <c r="P71" s="15" t="s">
        <v>3</v>
      </c>
      <c r="Q71" s="14" t="s">
        <v>19</v>
      </c>
      <c r="R71" s="15" t="s">
        <v>4</v>
      </c>
      <c r="S71" s="15" t="s">
        <v>19</v>
      </c>
      <c r="T71" s="15" t="s">
        <v>56</v>
      </c>
      <c r="U71" s="12" t="s">
        <v>16</v>
      </c>
      <c r="V71" s="15" t="s">
        <v>21</v>
      </c>
      <c r="W71" s="15" t="s">
        <v>48</v>
      </c>
      <c r="X71" s="14" t="s">
        <v>6</v>
      </c>
      <c r="Y71" s="17" t="s">
        <v>5</v>
      </c>
      <c r="Z71" s="41" t="s">
        <v>53</v>
      </c>
      <c r="AA71" s="161"/>
      <c r="AB71" s="41"/>
      <c r="AC71" s="14" t="s">
        <v>32</v>
      </c>
      <c r="AD71" s="15" t="s">
        <v>31</v>
      </c>
      <c r="AE71" s="15" t="s">
        <v>71</v>
      </c>
      <c r="AF71" s="15" t="s">
        <v>72</v>
      </c>
      <c r="AG71" s="15"/>
      <c r="AH71" s="98" t="s">
        <v>86</v>
      </c>
      <c r="AI71" s="15"/>
      <c r="AJ71" s="11"/>
      <c r="AK71" s="98" t="s">
        <v>27</v>
      </c>
      <c r="AL71" s="43" t="s">
        <v>82</v>
      </c>
      <c r="AM71" s="15" t="s">
        <v>83</v>
      </c>
      <c r="AN71" s="42" t="s">
        <v>83</v>
      </c>
      <c r="AO71" s="42"/>
      <c r="AP71" s="17"/>
      <c r="AQ71" s="41" t="s">
        <v>54</v>
      </c>
      <c r="AR71" s="134"/>
      <c r="AS71" s="11"/>
      <c r="AT71" s="11"/>
      <c r="AU71" s="11"/>
      <c r="AV71" s="11"/>
      <c r="AW71" s="16"/>
      <c r="AX71" s="40" t="s">
        <v>84</v>
      </c>
      <c r="AY71" s="10"/>
      <c r="AZ71" s="11"/>
      <c r="BA71" s="54"/>
      <c r="BB71" s="10"/>
      <c r="BC71" s="16"/>
      <c r="BD71" s="93"/>
      <c r="BE71" s="93"/>
      <c r="BF71" s="93"/>
      <c r="BH71" s="13"/>
      <c r="BI71" s="13"/>
    </row>
    <row r="72" spans="2:61" ht="12" thickBot="1">
      <c r="B72" s="381"/>
      <c r="C72" s="499" t="s">
        <v>246</v>
      </c>
      <c r="D72" s="54"/>
      <c r="E72" s="77"/>
      <c r="F72" s="62"/>
      <c r="G72" s="18" t="s">
        <v>60</v>
      </c>
      <c r="H72" s="18" t="s">
        <v>11</v>
      </c>
      <c r="I72" s="270"/>
      <c r="J72" s="1" t="s">
        <v>43</v>
      </c>
      <c r="K72" s="1" t="s">
        <v>40</v>
      </c>
      <c r="L72" s="1" t="s">
        <v>40</v>
      </c>
      <c r="M72" s="48"/>
      <c r="N72" s="246"/>
      <c r="O72" s="1"/>
      <c r="P72" s="1" t="s">
        <v>44</v>
      </c>
      <c r="Q72" s="20" t="s">
        <v>40</v>
      </c>
      <c r="R72" s="1" t="s">
        <v>44</v>
      </c>
      <c r="S72" s="1" t="s">
        <v>40</v>
      </c>
      <c r="T72" s="1" t="s">
        <v>57</v>
      </c>
      <c r="U72" s="19" t="s">
        <v>40</v>
      </c>
      <c r="V72" s="1" t="s">
        <v>12</v>
      </c>
      <c r="W72" s="1" t="s">
        <v>40</v>
      </c>
      <c r="X72" s="20" t="s">
        <v>35</v>
      </c>
      <c r="Y72" s="21" t="s">
        <v>40</v>
      </c>
      <c r="Z72" s="41" t="s">
        <v>45</v>
      </c>
      <c r="AA72" s="161"/>
      <c r="AB72" s="17" t="s">
        <v>35</v>
      </c>
      <c r="AC72" s="14" t="s">
        <v>24</v>
      </c>
      <c r="AD72" s="15" t="s">
        <v>22</v>
      </c>
      <c r="AE72" s="15" t="s">
        <v>28</v>
      </c>
      <c r="AF72" s="15" t="s">
        <v>28</v>
      </c>
      <c r="AG72" s="1" t="s">
        <v>28</v>
      </c>
      <c r="AH72" s="42" t="s">
        <v>11</v>
      </c>
      <c r="AI72" s="15" t="s">
        <v>11</v>
      </c>
      <c r="AJ72" s="45" t="s">
        <v>28</v>
      </c>
      <c r="AK72" s="11"/>
      <c r="AL72" s="43" t="s">
        <v>11</v>
      </c>
      <c r="AM72" s="215" t="s">
        <v>11</v>
      </c>
      <c r="AN72" s="234" t="s">
        <v>11</v>
      </c>
      <c r="AO72" s="42" t="s">
        <v>45</v>
      </c>
      <c r="AP72" s="17" t="s">
        <v>35</v>
      </c>
      <c r="AQ72" s="57" t="s">
        <v>23</v>
      </c>
      <c r="AR72" s="135" t="s">
        <v>11</v>
      </c>
      <c r="AS72" s="59" t="s">
        <v>20</v>
      </c>
      <c r="AT72" s="60" t="s">
        <v>11</v>
      </c>
      <c r="AU72" s="60" t="s">
        <v>20</v>
      </c>
      <c r="AV72" s="47" t="s">
        <v>38</v>
      </c>
      <c r="AW72" s="46" t="s">
        <v>45</v>
      </c>
      <c r="AX72" s="46" t="s">
        <v>45</v>
      </c>
      <c r="AY72" s="1" t="s">
        <v>40</v>
      </c>
      <c r="AZ72" s="1" t="s">
        <v>40</v>
      </c>
      <c r="BA72" s="49" t="s">
        <v>38</v>
      </c>
      <c r="BB72" s="2" t="s">
        <v>40</v>
      </c>
      <c r="BC72" s="46" t="s">
        <v>40</v>
      </c>
      <c r="BD72" s="136" t="s">
        <v>40</v>
      </c>
      <c r="BE72" s="61" t="s">
        <v>23</v>
      </c>
      <c r="BF72" s="61" t="s">
        <v>23</v>
      </c>
      <c r="BH72" s="13"/>
      <c r="BI72" s="13"/>
    </row>
    <row r="73" spans="2:58" ht="11.25">
      <c r="B73" s="118">
        <v>14</v>
      </c>
      <c r="C73" s="503">
        <f>B73*V73*$H73/1000</f>
        <v>2.94</v>
      </c>
      <c r="D73" s="54"/>
      <c r="E73" s="123" t="s">
        <v>255</v>
      </c>
      <c r="F73" s="78" t="s">
        <v>257</v>
      </c>
      <c r="G73" s="179" t="s">
        <v>73</v>
      </c>
      <c r="H73" s="139">
        <v>12</v>
      </c>
      <c r="I73" s="271"/>
      <c r="J73" s="22">
        <v>3.54</v>
      </c>
      <c r="K73" s="22">
        <v>9.87</v>
      </c>
      <c r="L73" s="25">
        <v>0.19</v>
      </c>
      <c r="M73" s="248"/>
      <c r="N73" s="154"/>
      <c r="O73" s="208" t="str">
        <f aca="true" t="shared" si="62" ref="O73:O80">IF(M73&lt;1.1*((N73*29000)/P73)^0.5,1,"NO")</f>
        <v>NO</v>
      </c>
      <c r="P73" s="4">
        <v>50</v>
      </c>
      <c r="Q73" s="6">
        <v>1.5</v>
      </c>
      <c r="R73" s="4">
        <v>4</v>
      </c>
      <c r="S73" s="140">
        <v>4</v>
      </c>
      <c r="T73" s="4">
        <v>115</v>
      </c>
      <c r="U73" s="24">
        <v>75</v>
      </c>
      <c r="V73" s="22">
        <v>17.5</v>
      </c>
      <c r="W73" s="23">
        <f aca="true" t="shared" si="63" ref="W73:W80">MIN((V73/4)*12,U73)</f>
        <v>52.5</v>
      </c>
      <c r="X73" s="27">
        <f aca="true" t="shared" si="64" ref="X73:X80">J73*P73</f>
        <v>177</v>
      </c>
      <c r="Y73" s="28">
        <f aca="true" t="shared" si="65" ref="Y73:Y80">(J73*P73)/(0.85*R73*W73)</f>
        <v>0.9915966386554622</v>
      </c>
      <c r="Z73" s="102">
        <f aca="true" t="shared" si="66" ref="Z73:Z80">(0.9*((J73*P73*(K73/2))+(0.85*R73*Y73*W73*(S73-(Y73/2)))))/12</f>
        <v>112.03040231092437</v>
      </c>
      <c r="AA73" s="162">
        <f aca="true" t="shared" si="67" ref="AA73:AA80">IF(I73="v",0.9,1)</f>
        <v>1</v>
      </c>
      <c r="AB73" s="209">
        <f aca="true" t="shared" si="68" ref="AB73:AB80">IF(O73="NO",AA73*0.6*P73*K73*L73,AA73*0.6*P73*K73*L73*O73)</f>
        <v>56.25899999999999</v>
      </c>
      <c r="AC73" s="6">
        <v>17.2</v>
      </c>
      <c r="AD73" s="143">
        <f aca="true" t="shared" si="69" ref="AD73:AD80">(X73/AC73)*2</f>
        <v>20.58139534883721</v>
      </c>
      <c r="AE73" s="4">
        <v>30</v>
      </c>
      <c r="AF73" s="4">
        <v>1.6</v>
      </c>
      <c r="AG73" s="141">
        <v>29</v>
      </c>
      <c r="AH73" s="141">
        <v>0</v>
      </c>
      <c r="AI73" s="144">
        <f aca="true" t="shared" si="70" ref="AI73:AI80">((AE73+AG73+AF73)*(U73/12))+H73+AH73</f>
        <v>390.75</v>
      </c>
      <c r="AJ73" s="24">
        <v>100</v>
      </c>
      <c r="AK73" s="23">
        <f aca="true" t="shared" si="71" ref="AK73:AK80">IF(0.25+(15/($F$7*V73*(U73/12))^0.5)&gt;0.5,IF(0.25+(15/($F$7*V73*(U73/12))^0.5)&gt;1,1,0.25+(15/($F$7*V73*(U73/12))^0.5)),0.5)</f>
        <v>1</v>
      </c>
      <c r="AL73" s="143">
        <f aca="true" t="shared" si="72" ref="AL73:AL80">(AJ73*AK73)*(U73/12)</f>
        <v>625</v>
      </c>
      <c r="AM73" s="143">
        <f aca="true" t="shared" si="73" ref="AM73:AM80">(1.2*AI73)+(1.6*AL73)</f>
        <v>1468.9</v>
      </c>
      <c r="AN73" s="143">
        <f aca="true" t="shared" si="74" ref="AN73:AN80">1.4*AI73</f>
        <v>547.05</v>
      </c>
      <c r="AO73" s="142">
        <f aca="true" t="shared" si="75" ref="AO73:AO80">MAX((AN73*V73*V73)/8000,(AM73*V73*V73)/8000)</f>
        <v>56.231328125</v>
      </c>
      <c r="AP73" s="51">
        <f aca="true" t="shared" si="76" ref="AP73:AP80">MAX(AN73*V73/2000,AM73*V73/2000)</f>
        <v>12.852875</v>
      </c>
      <c r="AQ73" s="90" t="str">
        <f aca="true" t="shared" si="77" ref="AQ73:AQ80">IF(AND(Z73&gt;AO73,AB73&gt;AP73),"OK","NG")</f>
        <v>OK</v>
      </c>
      <c r="AR73" s="103">
        <f aca="true" t="shared" si="78" ref="AR73:AR80">((AF73+AG73)*(U73/12))+H73</f>
        <v>203.25</v>
      </c>
      <c r="AS73" s="145">
        <f aca="true" t="shared" si="79" ref="AS73:AS80">AR73/12</f>
        <v>16.9375</v>
      </c>
      <c r="AT73" s="143">
        <f aca="true" t="shared" si="80" ref="AT73:AT80">AJ73*(U73/12)</f>
        <v>625</v>
      </c>
      <c r="AU73" s="143">
        <f aca="true" t="shared" si="81" ref="AU73:AU80">AT73/12</f>
        <v>52.083333333333336</v>
      </c>
      <c r="AV73" s="31">
        <v>53.8</v>
      </c>
      <c r="AW73" s="68">
        <f aca="true" t="shared" si="82" ref="AW73:AW80">(AR73*V73*V73)/8000</f>
        <v>7.7806640625</v>
      </c>
      <c r="AX73" s="118">
        <v>46.9</v>
      </c>
      <c r="AY73" s="126">
        <v>0</v>
      </c>
      <c r="AZ73" s="237">
        <f aca="true" t="shared" si="83" ref="AZ73:AZ80">S73-Y73/2</f>
        <v>3.504201680672269</v>
      </c>
      <c r="BA73" s="67">
        <v>180</v>
      </c>
      <c r="BB73" s="162">
        <f aca="true" t="shared" si="84" ref="BB73:BB80">(5*(AS73)*((V73*12)^4))/(384*29000000*AV73)</f>
        <v>0.2749064904789851</v>
      </c>
      <c r="BC73" s="68">
        <f aca="true" t="shared" si="85" ref="BC73:BC80">(5*(AU73)*((V73*12)^4))/(384*29000000*BA73)</f>
        <v>0.2526645002693966</v>
      </c>
      <c r="BD73" s="102">
        <f aca="true" t="shared" si="86" ref="BD73:BD80">(V73/360)*12</f>
        <v>0.5833333333333334</v>
      </c>
      <c r="BE73" s="90" t="str">
        <f aca="true" t="shared" si="87" ref="BE73:BE80">IF(BB73&gt;BD73,"NG","OK")</f>
        <v>OK</v>
      </c>
      <c r="BF73" s="90" t="str">
        <f aca="true" t="shared" si="88" ref="BF73:BF80">IF(BC73&gt;BD73,"NG","OK")</f>
        <v>OK</v>
      </c>
    </row>
    <row r="74" spans="2:58" ht="12" thickBot="1">
      <c r="B74" s="165">
        <v>8</v>
      </c>
      <c r="C74" s="505">
        <f>B74*V74*$H74/1000</f>
        <v>1.872</v>
      </c>
      <c r="D74" s="54"/>
      <c r="E74" s="152" t="s">
        <v>256</v>
      </c>
      <c r="F74" s="178" t="s">
        <v>258</v>
      </c>
      <c r="G74" s="115" t="s">
        <v>73</v>
      </c>
      <c r="H74" s="218">
        <v>12</v>
      </c>
      <c r="I74" s="273"/>
      <c r="J74" s="100">
        <v>3.54</v>
      </c>
      <c r="K74" s="100">
        <v>9.87</v>
      </c>
      <c r="L74" s="116">
        <v>0.19</v>
      </c>
      <c r="M74" s="183"/>
      <c r="N74" s="156"/>
      <c r="O74" s="158" t="str">
        <f t="shared" si="62"/>
        <v>NO</v>
      </c>
      <c r="P74" s="109">
        <v>50</v>
      </c>
      <c r="Q74" s="95">
        <v>1.5</v>
      </c>
      <c r="R74" s="109">
        <v>4</v>
      </c>
      <c r="S74" s="100">
        <v>4</v>
      </c>
      <c r="T74" s="109">
        <v>115</v>
      </c>
      <c r="U74" s="108">
        <v>82.5</v>
      </c>
      <c r="V74" s="100">
        <v>19.5</v>
      </c>
      <c r="W74" s="107">
        <f t="shared" si="63"/>
        <v>58.5</v>
      </c>
      <c r="X74" s="105">
        <f t="shared" si="64"/>
        <v>177</v>
      </c>
      <c r="Y74" s="117">
        <f t="shared" si="65"/>
        <v>0.889894419306184</v>
      </c>
      <c r="Z74" s="113">
        <f t="shared" si="66"/>
        <v>112.70545079185518</v>
      </c>
      <c r="AA74" s="164">
        <f t="shared" si="67"/>
        <v>1</v>
      </c>
      <c r="AB74" s="129">
        <f t="shared" si="68"/>
        <v>56.25899999999999</v>
      </c>
      <c r="AC74" s="228">
        <v>17.2</v>
      </c>
      <c r="AD74" s="106">
        <f t="shared" si="69"/>
        <v>20.58139534883721</v>
      </c>
      <c r="AE74" s="109">
        <v>30</v>
      </c>
      <c r="AF74" s="109">
        <v>1.6</v>
      </c>
      <c r="AG74" s="183">
        <v>29</v>
      </c>
      <c r="AH74" s="226">
        <v>0</v>
      </c>
      <c r="AI74" s="112">
        <f t="shared" si="70"/>
        <v>428.625</v>
      </c>
      <c r="AJ74" s="31">
        <v>100</v>
      </c>
      <c r="AK74" s="124">
        <f t="shared" si="71"/>
        <v>1</v>
      </c>
      <c r="AL74" s="52">
        <f t="shared" si="72"/>
        <v>687.5</v>
      </c>
      <c r="AM74" s="52">
        <f t="shared" si="73"/>
        <v>1614.35</v>
      </c>
      <c r="AN74" s="52">
        <f t="shared" si="74"/>
        <v>600.0749999999999</v>
      </c>
      <c r="AO74" s="30">
        <f t="shared" si="75"/>
        <v>76.73207343749999</v>
      </c>
      <c r="AP74" s="128">
        <f t="shared" si="76"/>
        <v>15.739912499999999</v>
      </c>
      <c r="AQ74" s="91" t="str">
        <f t="shared" si="77"/>
        <v>OK</v>
      </c>
      <c r="AR74" s="114">
        <f t="shared" si="78"/>
        <v>222.375</v>
      </c>
      <c r="AS74" s="52">
        <f t="shared" si="79"/>
        <v>18.53125</v>
      </c>
      <c r="AT74" s="52">
        <f t="shared" si="80"/>
        <v>687.5</v>
      </c>
      <c r="AU74" s="52">
        <f t="shared" si="81"/>
        <v>57.291666666666664</v>
      </c>
      <c r="AV74" s="81">
        <v>53.8</v>
      </c>
      <c r="AW74" s="63">
        <f t="shared" si="82"/>
        <v>10.56976171875</v>
      </c>
      <c r="AX74" s="119">
        <v>46.9</v>
      </c>
      <c r="AY74" s="125">
        <v>0</v>
      </c>
      <c r="AZ74" s="238">
        <f t="shared" si="83"/>
        <v>3.555052790346908</v>
      </c>
      <c r="BA74" s="67">
        <v>180</v>
      </c>
      <c r="BB74" s="131">
        <f t="shared" si="84"/>
        <v>0.4636888481219355</v>
      </c>
      <c r="BC74" s="63">
        <f t="shared" si="85"/>
        <v>0.42847270676185345</v>
      </c>
      <c r="BD74" s="211">
        <f t="shared" si="86"/>
        <v>0.65</v>
      </c>
      <c r="BE74" s="89" t="str">
        <f t="shared" si="87"/>
        <v>OK</v>
      </c>
      <c r="BF74" s="89" t="str">
        <f t="shared" si="88"/>
        <v>OK</v>
      </c>
    </row>
    <row r="75" spans="2:58" ht="11.25">
      <c r="B75" s="254">
        <v>30</v>
      </c>
      <c r="C75" s="509">
        <f>B75*V75*$H75/1000</f>
        <v>15.675</v>
      </c>
      <c r="D75" s="54"/>
      <c r="E75" s="436" t="s">
        <v>218</v>
      </c>
      <c r="F75" s="56">
        <v>2</v>
      </c>
      <c r="G75" s="179" t="s">
        <v>219</v>
      </c>
      <c r="H75" s="179">
        <v>19</v>
      </c>
      <c r="I75" s="390"/>
      <c r="J75" s="80">
        <v>5.57</v>
      </c>
      <c r="K75" s="80">
        <v>12.2</v>
      </c>
      <c r="L75" s="296">
        <v>0.235</v>
      </c>
      <c r="M75" s="410"/>
      <c r="N75" s="391"/>
      <c r="O75" s="216" t="str">
        <f t="shared" si="62"/>
        <v>NO</v>
      </c>
      <c r="P75" s="11">
        <v>50</v>
      </c>
      <c r="Q75" s="13">
        <v>1.5</v>
      </c>
      <c r="R75" s="11">
        <v>4</v>
      </c>
      <c r="S75" s="74">
        <v>4</v>
      </c>
      <c r="T75" s="11">
        <v>115</v>
      </c>
      <c r="U75" s="81">
        <v>75</v>
      </c>
      <c r="V75" s="80">
        <v>27.5</v>
      </c>
      <c r="W75" s="82">
        <f t="shared" si="63"/>
        <v>75</v>
      </c>
      <c r="X75" s="83">
        <f t="shared" si="64"/>
        <v>278.5</v>
      </c>
      <c r="Y75" s="84">
        <f t="shared" si="65"/>
        <v>1.092156862745098</v>
      </c>
      <c r="Z75" s="211">
        <f t="shared" si="66"/>
        <v>199.55753676470587</v>
      </c>
      <c r="AA75" s="132">
        <f t="shared" si="67"/>
        <v>1</v>
      </c>
      <c r="AB75" s="251">
        <f t="shared" si="68"/>
        <v>86.00999999999999</v>
      </c>
      <c r="AC75" s="13">
        <v>17.2</v>
      </c>
      <c r="AD75" s="252">
        <f t="shared" si="69"/>
        <v>32.383720930232556</v>
      </c>
      <c r="AE75" s="11">
        <v>30</v>
      </c>
      <c r="AF75" s="11">
        <v>1.6</v>
      </c>
      <c r="AG75" s="182">
        <v>29</v>
      </c>
      <c r="AH75" s="141">
        <v>0</v>
      </c>
      <c r="AI75" s="144">
        <f t="shared" si="70"/>
        <v>397.75</v>
      </c>
      <c r="AJ75" s="24">
        <v>115</v>
      </c>
      <c r="AK75" s="23">
        <f t="shared" si="71"/>
        <v>1</v>
      </c>
      <c r="AL75" s="143">
        <f t="shared" si="72"/>
        <v>718.75</v>
      </c>
      <c r="AM75" s="143">
        <f t="shared" si="73"/>
        <v>1627.3</v>
      </c>
      <c r="AN75" s="143">
        <f t="shared" si="74"/>
        <v>556.8499999999999</v>
      </c>
      <c r="AO75" s="142">
        <f t="shared" si="75"/>
        <v>153.830703125</v>
      </c>
      <c r="AP75" s="51">
        <f t="shared" si="76"/>
        <v>22.375375</v>
      </c>
      <c r="AQ75" s="90" t="str">
        <f t="shared" si="77"/>
        <v>OK</v>
      </c>
      <c r="AR75" s="103">
        <f t="shared" si="78"/>
        <v>210.25</v>
      </c>
      <c r="AS75" s="235">
        <f t="shared" si="79"/>
        <v>17.520833333333332</v>
      </c>
      <c r="AT75" s="143">
        <f t="shared" si="80"/>
        <v>718.75</v>
      </c>
      <c r="AU75" s="143">
        <f t="shared" si="81"/>
        <v>59.895833333333336</v>
      </c>
      <c r="AV75" s="24">
        <v>130</v>
      </c>
      <c r="AW75" s="68">
        <f t="shared" si="82"/>
        <v>19.8751953125</v>
      </c>
      <c r="AX75" s="118">
        <v>75.4</v>
      </c>
      <c r="AY75" s="50">
        <v>0</v>
      </c>
      <c r="AZ75" s="237">
        <f t="shared" si="83"/>
        <v>3.453921568627451</v>
      </c>
      <c r="BA75" s="66">
        <v>383</v>
      </c>
      <c r="BB75" s="162">
        <f t="shared" si="84"/>
        <v>0.7176421649639422</v>
      </c>
      <c r="BC75" s="68">
        <f t="shared" si="85"/>
        <v>0.8327111487793453</v>
      </c>
      <c r="BD75" s="102">
        <f t="shared" si="86"/>
        <v>0.9166666666666667</v>
      </c>
      <c r="BE75" s="90" t="str">
        <f t="shared" si="87"/>
        <v>OK</v>
      </c>
      <c r="BF75" s="90" t="str">
        <f t="shared" si="88"/>
        <v>OK</v>
      </c>
    </row>
    <row r="76" spans="2:58" ht="11.25">
      <c r="B76" s="254"/>
      <c r="C76" s="505"/>
      <c r="D76" s="54"/>
      <c r="E76" s="152"/>
      <c r="F76" s="79" t="s">
        <v>215</v>
      </c>
      <c r="G76" s="223" t="s">
        <v>219</v>
      </c>
      <c r="H76" s="223">
        <v>19</v>
      </c>
      <c r="I76" s="272"/>
      <c r="J76" s="207">
        <v>5.57</v>
      </c>
      <c r="K76" s="207">
        <v>12.2</v>
      </c>
      <c r="L76" s="225">
        <v>0.235</v>
      </c>
      <c r="M76" s="226"/>
      <c r="N76" s="155"/>
      <c r="O76" s="157" t="str">
        <f t="shared" si="62"/>
        <v>NO</v>
      </c>
      <c r="P76" s="34">
        <v>50</v>
      </c>
      <c r="Q76" s="33">
        <v>1.5</v>
      </c>
      <c r="R76" s="34">
        <v>4</v>
      </c>
      <c r="S76" s="29">
        <v>4</v>
      </c>
      <c r="T76" s="34">
        <v>115</v>
      </c>
      <c r="U76" s="31">
        <v>82.5</v>
      </c>
      <c r="V76" s="80">
        <v>27.5</v>
      </c>
      <c r="W76" s="30">
        <f t="shared" si="63"/>
        <v>82.5</v>
      </c>
      <c r="X76" s="146">
        <f t="shared" si="64"/>
        <v>278.5</v>
      </c>
      <c r="Y76" s="147">
        <f t="shared" si="65"/>
        <v>0.9928698752228164</v>
      </c>
      <c r="Z76" s="211">
        <f t="shared" si="66"/>
        <v>200.5944652406417</v>
      </c>
      <c r="AA76" s="132">
        <f t="shared" si="67"/>
        <v>1</v>
      </c>
      <c r="AB76" s="128">
        <f t="shared" si="68"/>
        <v>86.00999999999999</v>
      </c>
      <c r="AC76" s="227">
        <v>17.2</v>
      </c>
      <c r="AD76" s="52">
        <f t="shared" si="69"/>
        <v>32.383720930232556</v>
      </c>
      <c r="AE76" s="34">
        <v>30</v>
      </c>
      <c r="AF76" s="34">
        <v>1.6</v>
      </c>
      <c r="AG76" s="226">
        <v>29</v>
      </c>
      <c r="AH76" s="226">
        <v>0</v>
      </c>
      <c r="AI76" s="112">
        <f t="shared" si="70"/>
        <v>435.625</v>
      </c>
      <c r="AJ76" s="31">
        <v>115</v>
      </c>
      <c r="AK76" s="30">
        <f t="shared" si="71"/>
        <v>1</v>
      </c>
      <c r="AL76" s="52">
        <f t="shared" si="72"/>
        <v>790.625</v>
      </c>
      <c r="AM76" s="52">
        <f t="shared" si="73"/>
        <v>1787.75</v>
      </c>
      <c r="AN76" s="52">
        <f t="shared" si="74"/>
        <v>609.875</v>
      </c>
      <c r="AO76" s="30">
        <f t="shared" si="75"/>
        <v>168.9982421875</v>
      </c>
      <c r="AP76" s="128">
        <f t="shared" si="76"/>
        <v>24.5815625</v>
      </c>
      <c r="AQ76" s="91" t="str">
        <f t="shared" si="77"/>
        <v>OK</v>
      </c>
      <c r="AR76" s="120">
        <f t="shared" si="78"/>
        <v>229.375</v>
      </c>
      <c r="AS76" s="213">
        <f t="shared" si="79"/>
        <v>19.114583333333332</v>
      </c>
      <c r="AT76" s="52">
        <f t="shared" si="80"/>
        <v>790.625</v>
      </c>
      <c r="AU76" s="52">
        <f t="shared" si="81"/>
        <v>65.88541666666667</v>
      </c>
      <c r="AV76" s="81">
        <v>130</v>
      </c>
      <c r="AW76" s="63">
        <f t="shared" si="82"/>
        <v>21.68310546875</v>
      </c>
      <c r="AX76" s="119">
        <v>75.4</v>
      </c>
      <c r="AY76" s="69">
        <v>0</v>
      </c>
      <c r="AZ76" s="238">
        <f t="shared" si="83"/>
        <v>3.5035650623885917</v>
      </c>
      <c r="BA76" s="87">
        <v>383</v>
      </c>
      <c r="BB76" s="131">
        <f t="shared" si="84"/>
        <v>0.7829211490540037</v>
      </c>
      <c r="BC76" s="63">
        <f t="shared" si="85"/>
        <v>0.9159822636572799</v>
      </c>
      <c r="BD76" s="130">
        <f t="shared" si="86"/>
        <v>0.9166666666666667</v>
      </c>
      <c r="BE76" s="91" t="str">
        <f t="shared" si="87"/>
        <v>OK</v>
      </c>
      <c r="BF76" s="91" t="str">
        <f t="shared" si="88"/>
        <v>OK</v>
      </c>
    </row>
    <row r="77" spans="2:58" s="174" customFormat="1" ht="12" thickBot="1">
      <c r="B77" s="165"/>
      <c r="C77" s="506"/>
      <c r="D77" s="175"/>
      <c r="E77" s="77"/>
      <c r="F77" s="62">
        <v>5</v>
      </c>
      <c r="G77" s="115" t="s">
        <v>219</v>
      </c>
      <c r="H77" s="218">
        <v>19</v>
      </c>
      <c r="I77" s="394"/>
      <c r="J77" s="100">
        <v>5.57</v>
      </c>
      <c r="K77" s="100">
        <v>12.2</v>
      </c>
      <c r="L77" s="116">
        <v>0.235</v>
      </c>
      <c r="M77" s="183"/>
      <c r="N77" s="156"/>
      <c r="O77" s="373" t="str">
        <f t="shared" si="62"/>
        <v>NO</v>
      </c>
      <c r="P77" s="286">
        <v>50</v>
      </c>
      <c r="Q77" s="36">
        <v>1.5</v>
      </c>
      <c r="R77" s="286">
        <v>4</v>
      </c>
      <c r="S77" s="306">
        <v>4</v>
      </c>
      <c r="T77" s="286">
        <v>115</v>
      </c>
      <c r="U77" s="35">
        <v>75</v>
      </c>
      <c r="V77" s="100">
        <v>27.5</v>
      </c>
      <c r="W77" s="30">
        <f t="shared" si="63"/>
        <v>75</v>
      </c>
      <c r="X77" s="146">
        <f t="shared" si="64"/>
        <v>278.5</v>
      </c>
      <c r="Y77" s="147">
        <f t="shared" si="65"/>
        <v>1.092156862745098</v>
      </c>
      <c r="Z77" s="211">
        <f t="shared" si="66"/>
        <v>199.55753676470587</v>
      </c>
      <c r="AA77" s="132">
        <f t="shared" si="67"/>
        <v>1</v>
      </c>
      <c r="AB77" s="128">
        <f t="shared" si="68"/>
        <v>86.00999999999999</v>
      </c>
      <c r="AC77" s="227">
        <v>17.2</v>
      </c>
      <c r="AD77" s="52">
        <f t="shared" si="69"/>
        <v>32.383720930232556</v>
      </c>
      <c r="AE77" s="34">
        <v>30</v>
      </c>
      <c r="AF77" s="34">
        <v>1.6</v>
      </c>
      <c r="AG77" s="226">
        <v>29</v>
      </c>
      <c r="AH77" s="226">
        <v>0</v>
      </c>
      <c r="AI77" s="133">
        <f t="shared" si="70"/>
        <v>397.75</v>
      </c>
      <c r="AJ77" s="183">
        <v>115</v>
      </c>
      <c r="AK77" s="124">
        <f t="shared" si="71"/>
        <v>1</v>
      </c>
      <c r="AL77" s="52">
        <f t="shared" si="72"/>
        <v>718.75</v>
      </c>
      <c r="AM77" s="52">
        <f t="shared" si="73"/>
        <v>1627.3</v>
      </c>
      <c r="AN77" s="52">
        <f t="shared" si="74"/>
        <v>556.8499999999999</v>
      </c>
      <c r="AO77" s="30">
        <f t="shared" si="75"/>
        <v>153.830703125</v>
      </c>
      <c r="AP77" s="128">
        <f t="shared" si="76"/>
        <v>22.375375</v>
      </c>
      <c r="AQ77" s="91" t="str">
        <f t="shared" si="77"/>
        <v>OK</v>
      </c>
      <c r="AR77" s="120">
        <f t="shared" si="78"/>
        <v>210.25</v>
      </c>
      <c r="AS77" s="52">
        <f t="shared" si="79"/>
        <v>17.520833333333332</v>
      </c>
      <c r="AT77" s="85">
        <f t="shared" si="80"/>
        <v>718.75</v>
      </c>
      <c r="AU77" s="85">
        <f t="shared" si="81"/>
        <v>59.895833333333336</v>
      </c>
      <c r="AV77" s="108">
        <v>130</v>
      </c>
      <c r="AW77" s="63">
        <f t="shared" si="82"/>
        <v>19.8751953125</v>
      </c>
      <c r="AX77" s="119">
        <v>75.4</v>
      </c>
      <c r="AY77" s="227">
        <v>0</v>
      </c>
      <c r="AZ77" s="437">
        <f t="shared" si="83"/>
        <v>3.453921568627451</v>
      </c>
      <c r="BA77" s="110">
        <v>383</v>
      </c>
      <c r="BB77" s="131">
        <f t="shared" si="84"/>
        <v>0.7176421649639422</v>
      </c>
      <c r="BC77" s="63">
        <f t="shared" si="85"/>
        <v>0.8327111487793453</v>
      </c>
      <c r="BD77" s="130">
        <f t="shared" si="86"/>
        <v>0.9166666666666667</v>
      </c>
      <c r="BE77" s="91" t="str">
        <f t="shared" si="87"/>
        <v>OK</v>
      </c>
      <c r="BF77" s="91" t="str">
        <f t="shared" si="88"/>
        <v>OK</v>
      </c>
    </row>
    <row r="78" spans="2:58" ht="11.25">
      <c r="B78" s="254">
        <v>14</v>
      </c>
      <c r="C78" s="509">
        <f>B78*V78*$H78/1000</f>
        <v>3.36</v>
      </c>
      <c r="D78" s="54"/>
      <c r="E78" s="76" t="s">
        <v>220</v>
      </c>
      <c r="F78" s="438">
        <v>2</v>
      </c>
      <c r="G78" s="139" t="s">
        <v>73</v>
      </c>
      <c r="H78" s="139">
        <v>12</v>
      </c>
      <c r="I78" s="271"/>
      <c r="J78" s="140">
        <v>3.54</v>
      </c>
      <c r="K78" s="140">
        <v>9.87</v>
      </c>
      <c r="L78" s="230">
        <v>0.19</v>
      </c>
      <c r="M78" s="248"/>
      <c r="N78" s="154"/>
      <c r="O78" s="208" t="str">
        <f t="shared" si="62"/>
        <v>NO</v>
      </c>
      <c r="P78" s="4">
        <v>50</v>
      </c>
      <c r="Q78" s="6">
        <v>1.5</v>
      </c>
      <c r="R78" s="4">
        <v>4</v>
      </c>
      <c r="S78" s="140">
        <v>4</v>
      </c>
      <c r="T78" s="4">
        <v>115</v>
      </c>
      <c r="U78" s="24">
        <v>81</v>
      </c>
      <c r="V78" s="140">
        <v>20</v>
      </c>
      <c r="W78" s="23">
        <f t="shared" si="63"/>
        <v>60</v>
      </c>
      <c r="X78" s="27">
        <f t="shared" si="64"/>
        <v>177</v>
      </c>
      <c r="Y78" s="28">
        <f t="shared" si="65"/>
        <v>0.8676470588235294</v>
      </c>
      <c r="Z78" s="102">
        <f t="shared" si="66"/>
        <v>112.85311764705881</v>
      </c>
      <c r="AA78" s="162">
        <f t="shared" si="67"/>
        <v>1</v>
      </c>
      <c r="AB78" s="209">
        <f t="shared" si="68"/>
        <v>56.25899999999999</v>
      </c>
      <c r="AC78" s="6">
        <v>17.2</v>
      </c>
      <c r="AD78" s="143">
        <f t="shared" si="69"/>
        <v>20.58139534883721</v>
      </c>
      <c r="AE78" s="4">
        <v>30</v>
      </c>
      <c r="AF78" s="4">
        <v>1.6</v>
      </c>
      <c r="AG78" s="141">
        <v>29</v>
      </c>
      <c r="AH78" s="141">
        <v>0</v>
      </c>
      <c r="AI78" s="144">
        <f t="shared" si="70"/>
        <v>421.05</v>
      </c>
      <c r="AJ78" s="24">
        <v>115</v>
      </c>
      <c r="AK78" s="23">
        <f t="shared" si="71"/>
        <v>1</v>
      </c>
      <c r="AL78" s="143">
        <f t="shared" si="72"/>
        <v>776.25</v>
      </c>
      <c r="AM78" s="143">
        <f t="shared" si="73"/>
        <v>1747.26</v>
      </c>
      <c r="AN78" s="143">
        <f t="shared" si="74"/>
        <v>589.47</v>
      </c>
      <c r="AO78" s="142">
        <f t="shared" si="75"/>
        <v>87.363</v>
      </c>
      <c r="AP78" s="51">
        <f t="shared" si="76"/>
        <v>17.4726</v>
      </c>
      <c r="AQ78" s="90" t="str">
        <f t="shared" si="77"/>
        <v>OK</v>
      </c>
      <c r="AR78" s="103">
        <f t="shared" si="78"/>
        <v>218.55</v>
      </c>
      <c r="AS78" s="235">
        <f t="shared" si="79"/>
        <v>18.212500000000002</v>
      </c>
      <c r="AT78" s="143">
        <f t="shared" si="80"/>
        <v>776.25</v>
      </c>
      <c r="AU78" s="143">
        <f t="shared" si="81"/>
        <v>64.6875</v>
      </c>
      <c r="AV78" s="24">
        <v>53.8</v>
      </c>
      <c r="AW78" s="68">
        <f t="shared" si="82"/>
        <v>10.9275</v>
      </c>
      <c r="AX78" s="118">
        <v>46.9</v>
      </c>
      <c r="AY78" s="50">
        <v>0</v>
      </c>
      <c r="AZ78" s="237">
        <f t="shared" si="83"/>
        <v>3.5661764705882355</v>
      </c>
      <c r="BA78" s="66">
        <v>180</v>
      </c>
      <c r="BB78" s="162">
        <f t="shared" si="84"/>
        <v>0.5042815023714909</v>
      </c>
      <c r="BC78" s="68">
        <f t="shared" si="85"/>
        <v>0.5353448275862069</v>
      </c>
      <c r="BD78" s="102">
        <f t="shared" si="86"/>
        <v>0.6666666666666666</v>
      </c>
      <c r="BE78" s="90" t="str">
        <f t="shared" si="87"/>
        <v>OK</v>
      </c>
      <c r="BF78" s="90" t="str">
        <f t="shared" si="88"/>
        <v>OK</v>
      </c>
    </row>
    <row r="79" spans="2:58" ht="11.25">
      <c r="B79" s="119"/>
      <c r="C79" s="508"/>
      <c r="D79" s="54"/>
      <c r="E79" s="76" t="s">
        <v>221</v>
      </c>
      <c r="F79" s="79" t="s">
        <v>215</v>
      </c>
      <c r="G79" s="223" t="s">
        <v>73</v>
      </c>
      <c r="H79" s="223">
        <v>12</v>
      </c>
      <c r="I79" s="272"/>
      <c r="J79" s="29">
        <v>3.54</v>
      </c>
      <c r="K79" s="207">
        <v>9.87</v>
      </c>
      <c r="L79" s="225">
        <v>0.19</v>
      </c>
      <c r="M79" s="226"/>
      <c r="N79" s="155"/>
      <c r="O79" s="157" t="str">
        <f t="shared" si="62"/>
        <v>NO</v>
      </c>
      <c r="P79" s="34">
        <v>50</v>
      </c>
      <c r="Q79" s="33">
        <v>1.5</v>
      </c>
      <c r="R79" s="34">
        <v>4</v>
      </c>
      <c r="S79" s="29">
        <v>4</v>
      </c>
      <c r="T79" s="34">
        <v>115</v>
      </c>
      <c r="U79" s="81">
        <v>82.5</v>
      </c>
      <c r="V79" s="29">
        <v>20</v>
      </c>
      <c r="W79" s="30">
        <f t="shared" si="63"/>
        <v>60</v>
      </c>
      <c r="X79" s="146">
        <f t="shared" si="64"/>
        <v>177</v>
      </c>
      <c r="Y79" s="147">
        <f t="shared" si="65"/>
        <v>0.8676470588235294</v>
      </c>
      <c r="Z79" s="130">
        <f t="shared" si="66"/>
        <v>112.85311764705881</v>
      </c>
      <c r="AA79" s="131">
        <f t="shared" si="67"/>
        <v>1</v>
      </c>
      <c r="AB79" s="128">
        <f t="shared" si="68"/>
        <v>56.25899999999999</v>
      </c>
      <c r="AC79" s="227">
        <v>17.2</v>
      </c>
      <c r="AD79" s="52">
        <f t="shared" si="69"/>
        <v>20.58139534883721</v>
      </c>
      <c r="AE79" s="34">
        <v>30</v>
      </c>
      <c r="AF79" s="34">
        <v>1.6</v>
      </c>
      <c r="AG79" s="226">
        <v>29</v>
      </c>
      <c r="AH79" s="226">
        <v>0</v>
      </c>
      <c r="AI79" s="112">
        <f t="shared" si="70"/>
        <v>428.625</v>
      </c>
      <c r="AJ79" s="31">
        <v>115</v>
      </c>
      <c r="AK79" s="30">
        <f t="shared" si="71"/>
        <v>1</v>
      </c>
      <c r="AL79" s="52">
        <f t="shared" si="72"/>
        <v>790.625</v>
      </c>
      <c r="AM79" s="52">
        <f t="shared" si="73"/>
        <v>1779.35</v>
      </c>
      <c r="AN79" s="52">
        <f t="shared" si="74"/>
        <v>600.0749999999999</v>
      </c>
      <c r="AO79" s="30">
        <f t="shared" si="75"/>
        <v>88.9675</v>
      </c>
      <c r="AP79" s="128">
        <f t="shared" si="76"/>
        <v>17.7935</v>
      </c>
      <c r="AQ79" s="91" t="str">
        <f t="shared" si="77"/>
        <v>OK</v>
      </c>
      <c r="AR79" s="120">
        <f t="shared" si="78"/>
        <v>222.375</v>
      </c>
      <c r="AS79" s="213">
        <f t="shared" si="79"/>
        <v>18.53125</v>
      </c>
      <c r="AT79" s="52">
        <f t="shared" si="80"/>
        <v>790.625</v>
      </c>
      <c r="AU79" s="52">
        <f t="shared" si="81"/>
        <v>65.88541666666667</v>
      </c>
      <c r="AV79" s="81">
        <v>53.8</v>
      </c>
      <c r="AW79" s="88">
        <f t="shared" si="82"/>
        <v>11.11875</v>
      </c>
      <c r="AX79" s="119">
        <v>46.9</v>
      </c>
      <c r="AY79" s="69">
        <v>0</v>
      </c>
      <c r="AZ79" s="437">
        <f t="shared" si="83"/>
        <v>3.5661764705882355</v>
      </c>
      <c r="BA79" s="87">
        <v>180</v>
      </c>
      <c r="BB79" s="131">
        <f t="shared" si="84"/>
        <v>0.5131072939366748</v>
      </c>
      <c r="BC79" s="63">
        <f t="shared" si="85"/>
        <v>0.5452586206896552</v>
      </c>
      <c r="BD79" s="130">
        <f t="shared" si="86"/>
        <v>0.6666666666666666</v>
      </c>
      <c r="BE79" s="91" t="str">
        <f t="shared" si="87"/>
        <v>OK</v>
      </c>
      <c r="BF79" s="91" t="str">
        <f t="shared" si="88"/>
        <v>OK</v>
      </c>
    </row>
    <row r="80" spans="2:58" s="174" customFormat="1" ht="12" thickBot="1">
      <c r="B80" s="381"/>
      <c r="C80" s="500"/>
      <c r="D80" s="175"/>
      <c r="E80" s="77"/>
      <c r="F80" s="304">
        <v>5</v>
      </c>
      <c r="G80" s="218" t="s">
        <v>73</v>
      </c>
      <c r="H80" s="153">
        <v>12</v>
      </c>
      <c r="I80" s="273"/>
      <c r="J80" s="100">
        <v>3.54</v>
      </c>
      <c r="K80" s="100">
        <v>9.87</v>
      </c>
      <c r="L80" s="116">
        <v>0.19</v>
      </c>
      <c r="M80" s="183"/>
      <c r="N80" s="156"/>
      <c r="O80" s="158" t="str">
        <f t="shared" si="62"/>
        <v>NO</v>
      </c>
      <c r="P80" s="109">
        <v>50</v>
      </c>
      <c r="Q80" s="95">
        <v>1.5</v>
      </c>
      <c r="R80" s="109">
        <v>4</v>
      </c>
      <c r="S80" s="100">
        <v>4</v>
      </c>
      <c r="T80" s="109">
        <v>115</v>
      </c>
      <c r="U80" s="108">
        <v>75</v>
      </c>
      <c r="V80" s="100">
        <v>20</v>
      </c>
      <c r="W80" s="107">
        <f t="shared" si="63"/>
        <v>60</v>
      </c>
      <c r="X80" s="105">
        <f t="shared" si="64"/>
        <v>177</v>
      </c>
      <c r="Y80" s="117">
        <f t="shared" si="65"/>
        <v>0.8676470588235294</v>
      </c>
      <c r="Z80" s="113">
        <f t="shared" si="66"/>
        <v>112.85311764705881</v>
      </c>
      <c r="AA80" s="164">
        <f t="shared" si="67"/>
        <v>1</v>
      </c>
      <c r="AB80" s="129">
        <f t="shared" si="68"/>
        <v>56.25899999999999</v>
      </c>
      <c r="AC80" s="228">
        <v>17.2</v>
      </c>
      <c r="AD80" s="106">
        <f t="shared" si="69"/>
        <v>20.58139534883721</v>
      </c>
      <c r="AE80" s="109">
        <v>30</v>
      </c>
      <c r="AF80" s="109">
        <v>1.6</v>
      </c>
      <c r="AG80" s="183">
        <v>29</v>
      </c>
      <c r="AH80" s="183">
        <v>0</v>
      </c>
      <c r="AI80" s="133">
        <f t="shared" si="70"/>
        <v>390.75</v>
      </c>
      <c r="AJ80" s="183">
        <v>115</v>
      </c>
      <c r="AK80" s="107">
        <f t="shared" si="71"/>
        <v>1</v>
      </c>
      <c r="AL80" s="106">
        <f t="shared" si="72"/>
        <v>718.75</v>
      </c>
      <c r="AM80" s="106">
        <f t="shared" si="73"/>
        <v>1618.9</v>
      </c>
      <c r="AN80" s="106">
        <f t="shared" si="74"/>
        <v>547.05</v>
      </c>
      <c r="AO80" s="107">
        <f t="shared" si="75"/>
        <v>80.945</v>
      </c>
      <c r="AP80" s="129">
        <f t="shared" si="76"/>
        <v>16.189</v>
      </c>
      <c r="AQ80" s="92" t="str">
        <f t="shared" si="77"/>
        <v>OK</v>
      </c>
      <c r="AR80" s="104">
        <f t="shared" si="78"/>
        <v>203.25</v>
      </c>
      <c r="AS80" s="221">
        <f t="shared" si="79"/>
        <v>16.9375</v>
      </c>
      <c r="AT80" s="106">
        <f t="shared" si="80"/>
        <v>718.75</v>
      </c>
      <c r="AU80" s="106">
        <f t="shared" si="81"/>
        <v>59.895833333333336</v>
      </c>
      <c r="AV80" s="108">
        <v>53.8</v>
      </c>
      <c r="AW80" s="111">
        <f t="shared" si="82"/>
        <v>10.1625</v>
      </c>
      <c r="AX80" s="165">
        <v>46.9</v>
      </c>
      <c r="AY80" s="228">
        <v>0</v>
      </c>
      <c r="AZ80" s="240">
        <f t="shared" si="83"/>
        <v>3.5661764705882355</v>
      </c>
      <c r="BA80" s="110">
        <v>180</v>
      </c>
      <c r="BB80" s="164">
        <f t="shared" si="84"/>
        <v>0.468978336110755</v>
      </c>
      <c r="BC80" s="111">
        <f t="shared" si="85"/>
        <v>0.49568965517241387</v>
      </c>
      <c r="BD80" s="113">
        <f t="shared" si="86"/>
        <v>0.6666666666666666</v>
      </c>
      <c r="BE80" s="92" t="str">
        <f t="shared" si="87"/>
        <v>OK</v>
      </c>
      <c r="BF80" s="92" t="str">
        <f t="shared" si="88"/>
        <v>OK</v>
      </c>
    </row>
    <row r="82" spans="5:12" ht="12" thickBot="1">
      <c r="E82" s="276"/>
      <c r="F82" s="277" t="s">
        <v>120</v>
      </c>
      <c r="G82" s="278"/>
      <c r="H82" s="278"/>
      <c r="I82" s="279" t="s">
        <v>121</v>
      </c>
      <c r="J82" s="279"/>
      <c r="K82" s="280" t="s">
        <v>122</v>
      </c>
      <c r="L82" s="167"/>
    </row>
    <row r="83" spans="5:12" ht="12" thickTop="1">
      <c r="E83" s="241"/>
      <c r="H83" s="8" t="s">
        <v>21</v>
      </c>
      <c r="J83" s="281"/>
      <c r="K83" s="167"/>
      <c r="L83" s="167"/>
    </row>
    <row r="84" spans="5:12" ht="11.25">
      <c r="E84" s="276"/>
      <c r="F84" s="8"/>
      <c r="J84" s="13"/>
      <c r="K84" s="10"/>
      <c r="L84" s="13"/>
    </row>
    <row r="85" spans="2:43" ht="12" thickBot="1">
      <c r="B85" s="36"/>
      <c r="E85" s="411"/>
      <c r="F85" s="411"/>
      <c r="G85" s="36"/>
      <c r="H85" s="36"/>
      <c r="I85" s="36"/>
      <c r="J85" s="408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1:61" s="174" customFormat="1" ht="12" thickBot="1">
      <c r="A86" s="175"/>
      <c r="B86" s="8"/>
      <c r="C86" s="496"/>
      <c r="D86" s="175"/>
      <c r="E86" s="416" t="s">
        <v>210</v>
      </c>
      <c r="F86" s="432" t="s">
        <v>222</v>
      </c>
      <c r="G86" s="177"/>
      <c r="H86" s="177"/>
      <c r="I86" s="177"/>
      <c r="J86" s="177"/>
      <c r="K86" s="389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415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Q86" s="415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413"/>
      <c r="BG86" s="488"/>
      <c r="BH86" s="167"/>
      <c r="BI86" s="167"/>
    </row>
    <row r="87" spans="1:61" ht="11.25">
      <c r="A87" s="54"/>
      <c r="B87" s="37" t="s">
        <v>244</v>
      </c>
      <c r="C87" s="497" t="s">
        <v>56</v>
      </c>
      <c r="D87" s="54"/>
      <c r="E87" s="76" t="s">
        <v>124</v>
      </c>
      <c r="F87" s="56" t="s">
        <v>124</v>
      </c>
      <c r="G87" s="6" t="s">
        <v>58</v>
      </c>
      <c r="H87" s="6"/>
      <c r="I87" s="6"/>
      <c r="J87" s="6"/>
      <c r="K87" s="6"/>
      <c r="L87" s="6"/>
      <c r="M87" s="6"/>
      <c r="N87" s="6"/>
      <c r="O87" s="6"/>
      <c r="P87" s="3"/>
      <c r="Q87" s="38" t="s">
        <v>34</v>
      </c>
      <c r="R87" s="70"/>
      <c r="S87" s="26" t="s">
        <v>61</v>
      </c>
      <c r="T87" s="50"/>
      <c r="U87" s="5" t="s">
        <v>25</v>
      </c>
      <c r="V87" s="4"/>
      <c r="W87" s="4"/>
      <c r="X87" s="14" t="s">
        <v>49</v>
      </c>
      <c r="Y87" s="7"/>
      <c r="Z87" s="37"/>
      <c r="AA87" s="163" t="s">
        <v>96</v>
      </c>
      <c r="AB87" s="159"/>
      <c r="AC87" s="38" t="s">
        <v>17</v>
      </c>
      <c r="AD87" s="4"/>
      <c r="AE87" s="15" t="s">
        <v>7</v>
      </c>
      <c r="AF87" s="15" t="s">
        <v>7</v>
      </c>
      <c r="AG87" s="259" t="s">
        <v>7</v>
      </c>
      <c r="AH87" s="14" t="s">
        <v>7</v>
      </c>
      <c r="AI87" s="15" t="s">
        <v>7</v>
      </c>
      <c r="AJ87" s="45" t="s">
        <v>8</v>
      </c>
      <c r="AK87" s="98" t="s">
        <v>8</v>
      </c>
      <c r="AL87" s="43" t="s">
        <v>8</v>
      </c>
      <c r="AM87" s="43" t="s">
        <v>97</v>
      </c>
      <c r="AN87" s="12" t="s">
        <v>98</v>
      </c>
      <c r="AO87" s="3"/>
      <c r="AP87" s="7"/>
      <c r="AQ87" s="39" t="s">
        <v>50</v>
      </c>
      <c r="AR87" s="42" t="s">
        <v>7</v>
      </c>
      <c r="AS87" s="14" t="s">
        <v>7</v>
      </c>
      <c r="AT87" s="15" t="s">
        <v>8</v>
      </c>
      <c r="AU87" s="15" t="s">
        <v>8</v>
      </c>
      <c r="AV87" s="42" t="s">
        <v>34</v>
      </c>
      <c r="AW87" s="41" t="s">
        <v>14</v>
      </c>
      <c r="AX87" s="41" t="s">
        <v>51</v>
      </c>
      <c r="AY87" s="15" t="s">
        <v>9</v>
      </c>
      <c r="AZ87" s="15" t="s">
        <v>10</v>
      </c>
      <c r="BA87" s="17" t="s">
        <v>29</v>
      </c>
      <c r="BB87" s="42" t="s">
        <v>41</v>
      </c>
      <c r="BC87" s="41" t="s">
        <v>42</v>
      </c>
      <c r="BD87" s="57" t="s">
        <v>134</v>
      </c>
      <c r="BE87" s="55" t="s">
        <v>7</v>
      </c>
      <c r="BF87" s="56" t="s">
        <v>8</v>
      </c>
      <c r="BG87" s="460"/>
      <c r="BH87" s="13"/>
      <c r="BI87" s="13"/>
    </row>
    <row r="88" spans="2:61" ht="11.25">
      <c r="B88" s="93"/>
      <c r="C88" s="498"/>
      <c r="D88" s="54"/>
      <c r="E88" s="76"/>
      <c r="F88" s="44"/>
      <c r="G88" s="64"/>
      <c r="H88" s="64"/>
      <c r="I88" s="64"/>
      <c r="J88" s="64"/>
      <c r="K88" s="64"/>
      <c r="L88" s="64"/>
      <c r="M88" s="64"/>
      <c r="N88" s="64"/>
      <c r="O88" s="64"/>
      <c r="P88" s="69"/>
      <c r="Q88" s="14" t="s">
        <v>1</v>
      </c>
      <c r="R88" s="71"/>
      <c r="S88" s="72" t="s">
        <v>62</v>
      </c>
      <c r="T88" s="72" t="s">
        <v>63</v>
      </c>
      <c r="U88" s="12" t="s">
        <v>26</v>
      </c>
      <c r="V88" s="11"/>
      <c r="W88" s="11"/>
      <c r="Y88" s="16"/>
      <c r="Z88" s="41" t="s">
        <v>51</v>
      </c>
      <c r="AA88" s="160" t="s">
        <v>74</v>
      </c>
      <c r="AB88" s="41" t="s">
        <v>52</v>
      </c>
      <c r="AC88" s="14" t="s">
        <v>18</v>
      </c>
      <c r="AD88" s="15" t="s">
        <v>30</v>
      </c>
      <c r="AE88" s="15" t="s">
        <v>70</v>
      </c>
      <c r="AF88" s="15" t="s">
        <v>34</v>
      </c>
      <c r="AG88" s="15" t="s">
        <v>61</v>
      </c>
      <c r="AH88" s="98" t="s">
        <v>87</v>
      </c>
      <c r="AI88" s="15" t="s">
        <v>62</v>
      </c>
      <c r="AJ88" s="10"/>
      <c r="AK88" s="98" t="s">
        <v>67</v>
      </c>
      <c r="AL88" s="43" t="s">
        <v>81</v>
      </c>
      <c r="AM88" s="43" t="s">
        <v>15</v>
      </c>
      <c r="AN88" s="12"/>
      <c r="AO88" s="42" t="s">
        <v>14</v>
      </c>
      <c r="AP88" s="17" t="s">
        <v>36</v>
      </c>
      <c r="AQ88" s="44" t="s">
        <v>37</v>
      </c>
      <c r="AR88" s="42" t="s">
        <v>85</v>
      </c>
      <c r="AS88" s="13"/>
      <c r="AT88" s="11"/>
      <c r="AU88" s="11"/>
      <c r="AV88" s="42" t="s">
        <v>33</v>
      </c>
      <c r="AW88" s="17" t="s">
        <v>85</v>
      </c>
      <c r="AX88" s="40" t="s">
        <v>34</v>
      </c>
      <c r="AY88" s="10"/>
      <c r="AZ88" s="13"/>
      <c r="BA88" s="17" t="s">
        <v>46</v>
      </c>
      <c r="BB88" s="42" t="s">
        <v>13</v>
      </c>
      <c r="BC88" s="41"/>
      <c r="BD88" s="54"/>
      <c r="BE88" s="58" t="s">
        <v>39</v>
      </c>
      <c r="BF88" s="44" t="s">
        <v>39</v>
      </c>
      <c r="BG88" s="460"/>
      <c r="BH88" s="13"/>
      <c r="BI88" s="13"/>
    </row>
    <row r="89" spans="2:61" ht="11.25">
      <c r="B89" s="93"/>
      <c r="C89" s="498"/>
      <c r="D89" s="54"/>
      <c r="E89" s="76"/>
      <c r="F89" s="44"/>
      <c r="G89" s="73" t="s">
        <v>59</v>
      </c>
      <c r="H89" s="10" t="s">
        <v>56</v>
      </c>
      <c r="I89" s="10" t="s">
        <v>88</v>
      </c>
      <c r="J89" s="15" t="s">
        <v>47</v>
      </c>
      <c r="K89" s="15" t="s">
        <v>0</v>
      </c>
      <c r="L89" s="15" t="s">
        <v>2</v>
      </c>
      <c r="M89" s="15" t="s">
        <v>90</v>
      </c>
      <c r="N89" s="15" t="s">
        <v>91</v>
      </c>
      <c r="O89" s="15" t="s">
        <v>95</v>
      </c>
      <c r="P89" s="15" t="s">
        <v>3</v>
      </c>
      <c r="Q89" s="14" t="s">
        <v>19</v>
      </c>
      <c r="R89" s="15" t="s">
        <v>4</v>
      </c>
      <c r="S89" s="15" t="s">
        <v>19</v>
      </c>
      <c r="T89" s="15" t="s">
        <v>56</v>
      </c>
      <c r="U89" s="12" t="s">
        <v>16</v>
      </c>
      <c r="V89" s="15" t="s">
        <v>21</v>
      </c>
      <c r="W89" s="15" t="s">
        <v>48</v>
      </c>
      <c r="X89" s="14" t="s">
        <v>6</v>
      </c>
      <c r="Y89" s="17" t="s">
        <v>5</v>
      </c>
      <c r="Z89" s="41" t="s">
        <v>53</v>
      </c>
      <c r="AA89" s="161"/>
      <c r="AB89" s="41"/>
      <c r="AC89" s="14" t="s">
        <v>32</v>
      </c>
      <c r="AD89" s="15" t="s">
        <v>31</v>
      </c>
      <c r="AE89" s="15" t="s">
        <v>71</v>
      </c>
      <c r="AF89" s="15" t="s">
        <v>72</v>
      </c>
      <c r="AG89" s="15"/>
      <c r="AH89" s="98" t="s">
        <v>86</v>
      </c>
      <c r="AI89" s="15"/>
      <c r="AJ89" s="11"/>
      <c r="AK89" s="98" t="s">
        <v>27</v>
      </c>
      <c r="AL89" s="43" t="s">
        <v>82</v>
      </c>
      <c r="AM89" s="15" t="s">
        <v>83</v>
      </c>
      <c r="AN89" s="42" t="s">
        <v>83</v>
      </c>
      <c r="AO89" s="42"/>
      <c r="AP89" s="17"/>
      <c r="AQ89" s="41" t="s">
        <v>54</v>
      </c>
      <c r="AR89" s="134"/>
      <c r="AS89" s="11"/>
      <c r="AT89" s="11"/>
      <c r="AU89" s="11"/>
      <c r="AV89" s="11"/>
      <c r="AW89" s="16"/>
      <c r="AX89" s="40" t="s">
        <v>84</v>
      </c>
      <c r="AY89" s="10"/>
      <c r="AZ89" s="11"/>
      <c r="BA89" s="54"/>
      <c r="BB89" s="10"/>
      <c r="BC89" s="16"/>
      <c r="BD89" s="93"/>
      <c r="BE89" s="93"/>
      <c r="BF89" s="93"/>
      <c r="BH89" s="13"/>
      <c r="BI89" s="13"/>
    </row>
    <row r="90" spans="2:61" ht="12" thickBot="1">
      <c r="B90" s="93"/>
      <c r="C90" s="510" t="s">
        <v>246</v>
      </c>
      <c r="D90" s="54"/>
      <c r="E90" s="77"/>
      <c r="F90" s="62"/>
      <c r="G90" s="18" t="s">
        <v>60</v>
      </c>
      <c r="H90" s="18" t="s">
        <v>11</v>
      </c>
      <c r="I90" s="18"/>
      <c r="J90" s="1" t="s">
        <v>43</v>
      </c>
      <c r="K90" s="1" t="s">
        <v>40</v>
      </c>
      <c r="L90" s="1" t="s">
        <v>40</v>
      </c>
      <c r="M90" s="1"/>
      <c r="N90" s="1"/>
      <c r="O90" s="1"/>
      <c r="P90" s="1" t="s">
        <v>44</v>
      </c>
      <c r="Q90" s="20" t="s">
        <v>40</v>
      </c>
      <c r="R90" s="1" t="s">
        <v>44</v>
      </c>
      <c r="S90" s="1" t="s">
        <v>40</v>
      </c>
      <c r="T90" s="1" t="s">
        <v>57</v>
      </c>
      <c r="U90" s="19" t="s">
        <v>40</v>
      </c>
      <c r="V90" s="1" t="s">
        <v>12</v>
      </c>
      <c r="W90" s="1" t="s">
        <v>40</v>
      </c>
      <c r="X90" s="20" t="s">
        <v>35</v>
      </c>
      <c r="Y90" s="21" t="s">
        <v>40</v>
      </c>
      <c r="Z90" s="46" t="s">
        <v>45</v>
      </c>
      <c r="AA90" s="285"/>
      <c r="AB90" s="46" t="s">
        <v>35</v>
      </c>
      <c r="AC90" s="20" t="s">
        <v>24</v>
      </c>
      <c r="AD90" s="1" t="s">
        <v>22</v>
      </c>
      <c r="AE90" s="1" t="s">
        <v>28</v>
      </c>
      <c r="AF90" s="1" t="s">
        <v>28</v>
      </c>
      <c r="AG90" s="1" t="s">
        <v>28</v>
      </c>
      <c r="AH90" s="2" t="s">
        <v>11</v>
      </c>
      <c r="AI90" s="1" t="s">
        <v>11</v>
      </c>
      <c r="AJ90" s="47" t="s">
        <v>28</v>
      </c>
      <c r="AK90" s="286"/>
      <c r="AL90" s="48" t="s">
        <v>11</v>
      </c>
      <c r="AM90" s="354" t="s">
        <v>11</v>
      </c>
      <c r="AN90" s="309" t="s">
        <v>11</v>
      </c>
      <c r="AO90" s="2" t="s">
        <v>45</v>
      </c>
      <c r="AP90" s="21" t="s">
        <v>35</v>
      </c>
      <c r="AQ90" s="49" t="s">
        <v>23</v>
      </c>
      <c r="AR90" s="135" t="s">
        <v>11</v>
      </c>
      <c r="AS90" s="59" t="s">
        <v>20</v>
      </c>
      <c r="AT90" s="60" t="s">
        <v>11</v>
      </c>
      <c r="AU90" s="60" t="s">
        <v>20</v>
      </c>
      <c r="AV90" s="47" t="s">
        <v>38</v>
      </c>
      <c r="AW90" s="46" t="s">
        <v>45</v>
      </c>
      <c r="AX90" s="46" t="s">
        <v>45</v>
      </c>
      <c r="AY90" s="1" t="s">
        <v>40</v>
      </c>
      <c r="AZ90" s="1" t="s">
        <v>40</v>
      </c>
      <c r="BA90" s="49" t="s">
        <v>38</v>
      </c>
      <c r="BB90" s="2" t="s">
        <v>40</v>
      </c>
      <c r="BC90" s="46" t="s">
        <v>40</v>
      </c>
      <c r="BD90" s="136" t="s">
        <v>40</v>
      </c>
      <c r="BE90" s="61" t="s">
        <v>23</v>
      </c>
      <c r="BF90" s="61" t="s">
        <v>23</v>
      </c>
      <c r="BH90" s="13"/>
      <c r="BI90" s="13"/>
    </row>
    <row r="91" spans="2:61" ht="11.25">
      <c r="B91" s="118">
        <v>1</v>
      </c>
      <c r="C91" s="509">
        <f aca="true" t="shared" si="89" ref="C91:C110">B91*V91*$H91/1000</f>
        <v>0.21</v>
      </c>
      <c r="D91" s="54"/>
      <c r="E91" s="371" t="s">
        <v>223</v>
      </c>
      <c r="F91" s="421" t="s">
        <v>183</v>
      </c>
      <c r="G91" s="123" t="s">
        <v>73</v>
      </c>
      <c r="H91" s="287">
        <v>12</v>
      </c>
      <c r="I91" s="271"/>
      <c r="J91" s="22">
        <v>3.54</v>
      </c>
      <c r="K91" s="22">
        <v>9.87</v>
      </c>
      <c r="L91" s="25">
        <v>0.19</v>
      </c>
      <c r="M91" s="25"/>
      <c r="N91" s="25"/>
      <c r="O91" s="372" t="str">
        <f aca="true" t="shared" si="90" ref="O91:O110">IF(M91&lt;1.1*((N91*29000)/P91)^0.5,1,"NO")</f>
        <v>NO</v>
      </c>
      <c r="P91" s="4">
        <v>50</v>
      </c>
      <c r="Q91" s="6">
        <v>1.5</v>
      </c>
      <c r="R91" s="4">
        <v>4</v>
      </c>
      <c r="S91" s="140">
        <v>4</v>
      </c>
      <c r="T91" s="4">
        <v>115</v>
      </c>
      <c r="U91" s="141">
        <v>37.5</v>
      </c>
      <c r="V91" s="140">
        <v>17.5</v>
      </c>
      <c r="W91" s="142">
        <f aca="true" t="shared" si="91" ref="W91:W110">MIN((V91/4)*12,U91)</f>
        <v>37.5</v>
      </c>
      <c r="X91" s="440">
        <f aca="true" t="shared" si="92" ref="X91:X110">J91*P91</f>
        <v>177</v>
      </c>
      <c r="Y91" s="441">
        <f aca="true" t="shared" si="93" ref="Y91:Y110">(J91*P91)/(0.85*R91*W91)</f>
        <v>1.388235294117647</v>
      </c>
      <c r="Z91" s="442">
        <f aca="true" t="shared" si="94" ref="Z91:Z110">(0.9*((J91*P91*(K91/2))+(0.85*R91*Y91*W91*(S91-(Y91/2)))))/12</f>
        <v>109.39771323529409</v>
      </c>
      <c r="AA91" s="162">
        <f aca="true" t="shared" si="95" ref="AA91:AA110">IF(I91="v",0.9,1)</f>
        <v>1</v>
      </c>
      <c r="AB91" s="51">
        <f aca="true" t="shared" si="96" ref="AB91:AB110">IF(O91="NO",AA91*0.6*P91*K91*L91,AA91*0.6*P91*K91*L91*O91)</f>
        <v>56.25899999999999</v>
      </c>
      <c r="AC91" s="6">
        <v>17.2</v>
      </c>
      <c r="AD91" s="143">
        <f aca="true" t="shared" si="97" ref="AD91:AD110">(X91/AC91)*2</f>
        <v>20.58139534883721</v>
      </c>
      <c r="AE91" s="4">
        <v>30</v>
      </c>
      <c r="AF91" s="4">
        <v>1.6</v>
      </c>
      <c r="AG91" s="141">
        <v>29</v>
      </c>
      <c r="AH91" s="141">
        <v>156</v>
      </c>
      <c r="AI91" s="144">
        <f aca="true" t="shared" si="98" ref="AI91:AI110">((AE91+AG91+AF91)*(U91/12))+H91+AH91</f>
        <v>357.375</v>
      </c>
      <c r="AJ91" s="141">
        <v>115</v>
      </c>
      <c r="AK91" s="23">
        <f aca="true" t="shared" si="99" ref="AK91:AK110">IF(0.25+(15/($F$7*V91*(U91/12))^0.5)&gt;0.5,IF(0.25+(15/($F$7*V91*(U91/12))^0.5)&gt;1,1,0.25+(15/($F$7*V91*(U91/12))^0.5)),0.5)</f>
        <v>1</v>
      </c>
      <c r="AL91" s="143">
        <f aca="true" t="shared" si="100" ref="AL91:AL110">(AJ91*AK91)*(U91/12)</f>
        <v>359.375</v>
      </c>
      <c r="AM91" s="143">
        <f aca="true" t="shared" si="101" ref="AM91:AM110">(1.2*AI91)+(1.6*AL91)</f>
        <v>1003.8499999999999</v>
      </c>
      <c r="AN91" s="290">
        <f aca="true" t="shared" si="102" ref="AN91:AN110">1.4*AI91</f>
        <v>500.325</v>
      </c>
      <c r="AO91" s="23">
        <f aca="true" t="shared" si="103" ref="AO91:AO110">MAX((AN91*V91*V91)/8000,(AM91*V91*V91)/8000)</f>
        <v>38.4286328125</v>
      </c>
      <c r="AP91" s="128">
        <f aca="true" t="shared" si="104" ref="AP91:AP110">MAX(AN91*V91/2000,AM91*V91/2000)</f>
        <v>8.7836875</v>
      </c>
      <c r="AQ91" s="443" t="str">
        <f aca="true" t="shared" si="105" ref="AQ91:AQ110">IF(AND(Z91&gt;AO91,AB91&gt;AP91),"OK","NG")</f>
        <v>OK</v>
      </c>
      <c r="AR91" s="444">
        <f aca="true" t="shared" si="106" ref="AR91:AR110">((AF91+AG91)*(U91/12))+H91</f>
        <v>107.625</v>
      </c>
      <c r="AS91" s="145">
        <f aca="true" t="shared" si="107" ref="AS91:AS110">AR91/12</f>
        <v>8.96875</v>
      </c>
      <c r="AT91" s="143">
        <f aca="true" t="shared" si="108" ref="AT91:AT110">AJ91*(U91/12)</f>
        <v>359.375</v>
      </c>
      <c r="AU91" s="143">
        <f aca="true" t="shared" si="109" ref="AU91:AU110">AT91/12</f>
        <v>29.947916666666668</v>
      </c>
      <c r="AV91" s="141">
        <v>53.8</v>
      </c>
      <c r="AW91" s="445">
        <f aca="true" t="shared" si="110" ref="AW91:AW110">(AR91*V91*V91)/8000</f>
        <v>4.12001953125</v>
      </c>
      <c r="AX91" s="446"/>
      <c r="AY91" s="447">
        <v>0</v>
      </c>
      <c r="AZ91" s="448">
        <f aca="true" t="shared" si="111" ref="AZ91:AZ110">S91-Y91/2</f>
        <v>3.3058823529411763</v>
      </c>
      <c r="BA91" s="7">
        <v>180</v>
      </c>
      <c r="BB91" s="449">
        <f aca="true" t="shared" si="112" ref="BB91:BB110">(5*(AS91)*((V91*12)^4))/(384*29000000*AV91)</f>
        <v>0.1455685659916397</v>
      </c>
      <c r="BC91" s="445">
        <f aca="true" t="shared" si="113" ref="BC91:BC110">(5*(AU91)*((V91*12)^4))/(384*29000000*BA91)</f>
        <v>0.14528208765490302</v>
      </c>
      <c r="BD91" s="102">
        <f aca="true" t="shared" si="114" ref="BD91:BD110">(V91/400)*12</f>
        <v>0.5249999999999999</v>
      </c>
      <c r="BE91" s="450" t="str">
        <f aca="true" t="shared" si="115" ref="BE91:BE110">IF(BB91&gt;BD91,"NG","OK")</f>
        <v>OK</v>
      </c>
      <c r="BF91" s="450" t="str">
        <f aca="true" t="shared" si="116" ref="BF91:BF110">IF(BC91&gt;BD91,"NG","OK")</f>
        <v>OK</v>
      </c>
      <c r="BG91" s="460"/>
      <c r="BH91" s="13"/>
      <c r="BI91" s="13"/>
    </row>
    <row r="92" spans="2:61" ht="11.25">
      <c r="B92" s="119">
        <v>1</v>
      </c>
      <c r="C92" s="508">
        <f t="shared" si="89"/>
        <v>0.21</v>
      </c>
      <c r="D92" s="54"/>
      <c r="E92" s="451" t="s">
        <v>174</v>
      </c>
      <c r="F92" s="79" t="s">
        <v>108</v>
      </c>
      <c r="G92" s="249" t="s">
        <v>73</v>
      </c>
      <c r="H92" s="258">
        <v>12</v>
      </c>
      <c r="I92" s="272"/>
      <c r="J92" s="29">
        <v>3.54</v>
      </c>
      <c r="K92" s="29">
        <v>9.87</v>
      </c>
      <c r="L92" s="32">
        <v>0.19</v>
      </c>
      <c r="M92" s="32"/>
      <c r="N92" s="32"/>
      <c r="O92" s="157" t="str">
        <f t="shared" si="90"/>
        <v>NO</v>
      </c>
      <c r="P92" s="34">
        <v>50</v>
      </c>
      <c r="Q92" s="33">
        <v>1.5</v>
      </c>
      <c r="R92" s="34">
        <v>4</v>
      </c>
      <c r="S92" s="29">
        <v>4</v>
      </c>
      <c r="T92" s="34">
        <v>115</v>
      </c>
      <c r="U92" s="31">
        <v>37.5</v>
      </c>
      <c r="V92" s="29">
        <v>17.5</v>
      </c>
      <c r="W92" s="30">
        <f t="shared" si="91"/>
        <v>37.5</v>
      </c>
      <c r="X92" s="146">
        <f t="shared" si="92"/>
        <v>177</v>
      </c>
      <c r="Y92" s="147">
        <f t="shared" si="93"/>
        <v>1.388235294117647</v>
      </c>
      <c r="Z92" s="294">
        <f t="shared" si="94"/>
        <v>109.39771323529409</v>
      </c>
      <c r="AA92" s="131">
        <f t="shared" si="95"/>
        <v>1</v>
      </c>
      <c r="AB92" s="128">
        <f t="shared" si="96"/>
        <v>56.25899999999999</v>
      </c>
      <c r="AC92" s="33">
        <v>17.2</v>
      </c>
      <c r="AD92" s="52">
        <f t="shared" si="97"/>
        <v>20.58139534883721</v>
      </c>
      <c r="AE92" s="34">
        <v>30</v>
      </c>
      <c r="AF92" s="34">
        <v>1.6</v>
      </c>
      <c r="AG92" s="31">
        <v>29</v>
      </c>
      <c r="AH92" s="31">
        <v>156</v>
      </c>
      <c r="AI92" s="112">
        <f t="shared" si="98"/>
        <v>357.375</v>
      </c>
      <c r="AJ92" s="31">
        <v>115</v>
      </c>
      <c r="AK92" s="30">
        <f t="shared" si="99"/>
        <v>1</v>
      </c>
      <c r="AL92" s="52">
        <f t="shared" si="100"/>
        <v>359.375</v>
      </c>
      <c r="AM92" s="52">
        <f t="shared" si="101"/>
        <v>1003.8499999999999</v>
      </c>
      <c r="AN92" s="85">
        <f t="shared" si="102"/>
        <v>500.325</v>
      </c>
      <c r="AO92" s="30">
        <f t="shared" si="103"/>
        <v>38.4286328125</v>
      </c>
      <c r="AP92" s="128">
        <f t="shared" si="104"/>
        <v>8.7836875</v>
      </c>
      <c r="AQ92" s="293" t="str">
        <f t="shared" si="105"/>
        <v>OK</v>
      </c>
      <c r="AR92" s="120">
        <f t="shared" si="106"/>
        <v>107.625</v>
      </c>
      <c r="AS92" s="255">
        <f t="shared" si="107"/>
        <v>8.96875</v>
      </c>
      <c r="AT92" s="52">
        <f t="shared" si="108"/>
        <v>359.375</v>
      </c>
      <c r="AU92" s="52">
        <f t="shared" si="109"/>
        <v>29.947916666666668</v>
      </c>
      <c r="AV92" s="31">
        <v>53.8</v>
      </c>
      <c r="AW92" s="63">
        <f t="shared" si="110"/>
        <v>4.12001953125</v>
      </c>
      <c r="AX92" s="119"/>
      <c r="AY92" s="125">
        <v>0</v>
      </c>
      <c r="AZ92" s="256">
        <f t="shared" si="111"/>
        <v>3.3058823529411763</v>
      </c>
      <c r="BA92" s="67">
        <v>180</v>
      </c>
      <c r="BB92" s="257">
        <f t="shared" si="112"/>
        <v>0.1455685659916397</v>
      </c>
      <c r="BC92" s="63">
        <f t="shared" si="113"/>
        <v>0.14528208765490302</v>
      </c>
      <c r="BD92" s="130">
        <f t="shared" si="114"/>
        <v>0.5249999999999999</v>
      </c>
      <c r="BE92" s="91" t="str">
        <f t="shared" si="115"/>
        <v>OK</v>
      </c>
      <c r="BF92" s="91" t="str">
        <f t="shared" si="116"/>
        <v>OK</v>
      </c>
      <c r="BH92" s="13"/>
      <c r="BI92" s="13"/>
    </row>
    <row r="93" spans="2:58" ht="11.25">
      <c r="B93" s="119">
        <v>1</v>
      </c>
      <c r="C93" s="508">
        <f t="shared" si="89"/>
        <v>0.21</v>
      </c>
      <c r="D93" s="54"/>
      <c r="E93" s="357" t="s">
        <v>224</v>
      </c>
      <c r="F93" s="79" t="s">
        <v>162</v>
      </c>
      <c r="G93" s="249" t="s">
        <v>73</v>
      </c>
      <c r="H93" s="258">
        <v>12</v>
      </c>
      <c r="I93" s="272"/>
      <c r="J93" s="29">
        <v>3.54</v>
      </c>
      <c r="K93" s="29">
        <v>9.87</v>
      </c>
      <c r="L93" s="32">
        <v>0.19</v>
      </c>
      <c r="M93" s="32"/>
      <c r="N93" s="32"/>
      <c r="O93" s="157" t="str">
        <f t="shared" si="90"/>
        <v>NO</v>
      </c>
      <c r="P93" s="34">
        <v>50</v>
      </c>
      <c r="Q93" s="33">
        <v>1.5</v>
      </c>
      <c r="R93" s="34">
        <v>4</v>
      </c>
      <c r="S93" s="29">
        <v>4</v>
      </c>
      <c r="T93" s="34">
        <v>115</v>
      </c>
      <c r="U93" s="31">
        <v>37.5</v>
      </c>
      <c r="V93" s="29">
        <v>17.5</v>
      </c>
      <c r="W93" s="30">
        <f t="shared" si="91"/>
        <v>37.5</v>
      </c>
      <c r="X93" s="146">
        <f t="shared" si="92"/>
        <v>177</v>
      </c>
      <c r="Y93" s="147">
        <f t="shared" si="93"/>
        <v>1.388235294117647</v>
      </c>
      <c r="Z93" s="294">
        <f t="shared" si="94"/>
        <v>109.39771323529409</v>
      </c>
      <c r="AA93" s="131">
        <f t="shared" si="95"/>
        <v>1</v>
      </c>
      <c r="AB93" s="128">
        <f t="shared" si="96"/>
        <v>56.25899999999999</v>
      </c>
      <c r="AC93" s="33">
        <v>17.2</v>
      </c>
      <c r="AD93" s="52">
        <f t="shared" si="97"/>
        <v>20.58139534883721</v>
      </c>
      <c r="AE93" s="34">
        <v>30</v>
      </c>
      <c r="AF93" s="34">
        <v>1.6</v>
      </c>
      <c r="AG93" s="31">
        <v>29</v>
      </c>
      <c r="AH93" s="31">
        <v>156</v>
      </c>
      <c r="AI93" s="112">
        <f t="shared" si="98"/>
        <v>357.375</v>
      </c>
      <c r="AJ93" s="31">
        <v>115</v>
      </c>
      <c r="AK93" s="30">
        <f t="shared" si="99"/>
        <v>1</v>
      </c>
      <c r="AL93" s="52">
        <f t="shared" si="100"/>
        <v>359.375</v>
      </c>
      <c r="AM93" s="52">
        <f t="shared" si="101"/>
        <v>1003.8499999999999</v>
      </c>
      <c r="AN93" s="85">
        <f t="shared" si="102"/>
        <v>500.325</v>
      </c>
      <c r="AO93" s="30">
        <f t="shared" si="103"/>
        <v>38.4286328125</v>
      </c>
      <c r="AP93" s="128">
        <f t="shared" si="104"/>
        <v>8.7836875</v>
      </c>
      <c r="AQ93" s="293" t="str">
        <f t="shared" si="105"/>
        <v>OK</v>
      </c>
      <c r="AR93" s="120">
        <f t="shared" si="106"/>
        <v>107.625</v>
      </c>
      <c r="AS93" s="255">
        <f t="shared" si="107"/>
        <v>8.96875</v>
      </c>
      <c r="AT93" s="52">
        <f t="shared" si="108"/>
        <v>359.375</v>
      </c>
      <c r="AU93" s="52">
        <f t="shared" si="109"/>
        <v>29.947916666666668</v>
      </c>
      <c r="AV93" s="31">
        <v>53.8</v>
      </c>
      <c r="AW93" s="63">
        <f t="shared" si="110"/>
        <v>4.12001953125</v>
      </c>
      <c r="AX93" s="119"/>
      <c r="AY93" s="125">
        <v>0</v>
      </c>
      <c r="AZ93" s="256">
        <f t="shared" si="111"/>
        <v>3.3058823529411763</v>
      </c>
      <c r="BA93" s="67">
        <v>180</v>
      </c>
      <c r="BB93" s="257">
        <f t="shared" si="112"/>
        <v>0.1455685659916397</v>
      </c>
      <c r="BC93" s="63">
        <f t="shared" si="113"/>
        <v>0.14528208765490302</v>
      </c>
      <c r="BD93" s="130">
        <f t="shared" si="114"/>
        <v>0.5249999999999999</v>
      </c>
      <c r="BE93" s="91" t="str">
        <f t="shared" si="115"/>
        <v>OK</v>
      </c>
      <c r="BF93" s="91" t="str">
        <f t="shared" si="116"/>
        <v>OK</v>
      </c>
    </row>
    <row r="94" spans="2:58" ht="12" thickBot="1">
      <c r="B94" s="165">
        <v>1</v>
      </c>
      <c r="C94" s="506">
        <f t="shared" si="89"/>
        <v>0.21</v>
      </c>
      <c r="D94" s="54"/>
      <c r="E94" s="355" t="s">
        <v>178</v>
      </c>
      <c r="F94" s="438" t="s">
        <v>225</v>
      </c>
      <c r="G94" s="152" t="s">
        <v>73</v>
      </c>
      <c r="H94" s="434">
        <v>12</v>
      </c>
      <c r="I94" s="274"/>
      <c r="J94" s="74">
        <v>3.54</v>
      </c>
      <c r="K94" s="74">
        <v>9.87</v>
      </c>
      <c r="L94" s="452">
        <v>0.19</v>
      </c>
      <c r="M94" s="452"/>
      <c r="N94" s="452"/>
      <c r="O94" s="392" t="str">
        <f t="shared" si="90"/>
        <v>NO</v>
      </c>
      <c r="P94" s="297">
        <v>50</v>
      </c>
      <c r="Q94" s="64">
        <v>1.5</v>
      </c>
      <c r="R94" s="297">
        <v>4</v>
      </c>
      <c r="S94" s="80">
        <v>4</v>
      </c>
      <c r="T94" s="297">
        <v>115</v>
      </c>
      <c r="U94" s="81">
        <v>37.5</v>
      </c>
      <c r="V94" s="80">
        <v>17.5</v>
      </c>
      <c r="W94" s="82">
        <f t="shared" si="91"/>
        <v>37.5</v>
      </c>
      <c r="X94" s="83">
        <f t="shared" si="92"/>
        <v>177</v>
      </c>
      <c r="Y94" s="84">
        <f t="shared" si="93"/>
        <v>1.388235294117647</v>
      </c>
      <c r="Z94" s="303">
        <f t="shared" si="94"/>
        <v>109.39771323529409</v>
      </c>
      <c r="AA94" s="132">
        <f t="shared" si="95"/>
        <v>1</v>
      </c>
      <c r="AB94" s="453">
        <f t="shared" si="96"/>
        <v>56.25899999999999</v>
      </c>
      <c r="AC94" s="64">
        <v>17.2</v>
      </c>
      <c r="AD94" s="85">
        <f t="shared" si="97"/>
        <v>20.58139534883721</v>
      </c>
      <c r="AE94" s="297">
        <v>30</v>
      </c>
      <c r="AF94" s="297">
        <v>1.6</v>
      </c>
      <c r="AG94" s="81">
        <v>29</v>
      </c>
      <c r="AH94" s="81">
        <v>156</v>
      </c>
      <c r="AI94" s="454">
        <f t="shared" si="98"/>
        <v>357.375</v>
      </c>
      <c r="AJ94" s="81">
        <v>115</v>
      </c>
      <c r="AK94" s="124">
        <f t="shared" si="99"/>
        <v>1</v>
      </c>
      <c r="AL94" s="85">
        <f t="shared" si="100"/>
        <v>359.375</v>
      </c>
      <c r="AM94" s="85">
        <f t="shared" si="101"/>
        <v>1003.8499999999999</v>
      </c>
      <c r="AN94" s="252">
        <f t="shared" si="102"/>
        <v>500.325</v>
      </c>
      <c r="AO94" s="124">
        <f t="shared" si="103"/>
        <v>38.4286328125</v>
      </c>
      <c r="AP94" s="129">
        <f t="shared" si="104"/>
        <v>8.7836875</v>
      </c>
      <c r="AQ94" s="299" t="str">
        <f t="shared" si="105"/>
        <v>OK</v>
      </c>
      <c r="AR94" s="114">
        <f t="shared" si="106"/>
        <v>107.625</v>
      </c>
      <c r="AS94" s="298">
        <f t="shared" si="107"/>
        <v>8.96875</v>
      </c>
      <c r="AT94" s="85">
        <f t="shared" si="108"/>
        <v>359.375</v>
      </c>
      <c r="AU94" s="85">
        <f t="shared" si="109"/>
        <v>29.947916666666668</v>
      </c>
      <c r="AV94" s="81">
        <v>53.8</v>
      </c>
      <c r="AW94" s="88">
        <f t="shared" si="110"/>
        <v>4.12001953125</v>
      </c>
      <c r="AX94" s="254"/>
      <c r="AY94" s="300">
        <v>0</v>
      </c>
      <c r="AZ94" s="301">
        <f t="shared" si="111"/>
        <v>3.3058823529411763</v>
      </c>
      <c r="BA94" s="87">
        <v>180</v>
      </c>
      <c r="BB94" s="302">
        <f t="shared" si="112"/>
        <v>0.1455685659916397</v>
      </c>
      <c r="BC94" s="88">
        <f t="shared" si="113"/>
        <v>0.14528208765490302</v>
      </c>
      <c r="BD94" s="363">
        <f t="shared" si="114"/>
        <v>0.5249999999999999</v>
      </c>
      <c r="BE94" s="89" t="str">
        <f t="shared" si="115"/>
        <v>OK</v>
      </c>
      <c r="BF94" s="89" t="str">
        <f t="shared" si="116"/>
        <v>OK</v>
      </c>
    </row>
    <row r="95" spans="2:58" ht="11.25">
      <c r="B95" s="254">
        <v>1</v>
      </c>
      <c r="C95" s="505">
        <f t="shared" si="89"/>
        <v>0.875</v>
      </c>
      <c r="D95" s="54"/>
      <c r="E95" s="371" t="s">
        <v>183</v>
      </c>
      <c r="F95" s="421" t="s">
        <v>184</v>
      </c>
      <c r="G95" s="123" t="s">
        <v>158</v>
      </c>
      <c r="H95" s="287">
        <v>35</v>
      </c>
      <c r="I95" s="271"/>
      <c r="J95" s="22">
        <v>10.3</v>
      </c>
      <c r="K95" s="22">
        <v>17.7</v>
      </c>
      <c r="L95" s="25">
        <v>0.3</v>
      </c>
      <c r="M95" s="25"/>
      <c r="N95" s="25"/>
      <c r="O95" s="372" t="str">
        <f t="shared" si="90"/>
        <v>NO</v>
      </c>
      <c r="P95" s="4">
        <v>50</v>
      </c>
      <c r="Q95" s="6">
        <v>1.5</v>
      </c>
      <c r="R95" s="4">
        <v>4</v>
      </c>
      <c r="S95" s="140">
        <v>4</v>
      </c>
      <c r="T95" s="4">
        <v>115</v>
      </c>
      <c r="U95" s="141">
        <v>270</v>
      </c>
      <c r="V95" s="140">
        <v>25</v>
      </c>
      <c r="W95" s="142">
        <f t="shared" si="91"/>
        <v>75</v>
      </c>
      <c r="X95" s="440">
        <f t="shared" si="92"/>
        <v>515</v>
      </c>
      <c r="Y95" s="441">
        <f t="shared" si="93"/>
        <v>2.019607843137255</v>
      </c>
      <c r="Z95" s="442">
        <f t="shared" si="94"/>
        <v>457.32757352941184</v>
      </c>
      <c r="AA95" s="162">
        <f t="shared" si="95"/>
        <v>1</v>
      </c>
      <c r="AB95" s="51">
        <f t="shared" si="96"/>
        <v>159.29999999999998</v>
      </c>
      <c r="AC95" s="6">
        <v>17.2</v>
      </c>
      <c r="AD95" s="143">
        <f t="shared" si="97"/>
        <v>59.88372093023256</v>
      </c>
      <c r="AE95" s="4">
        <v>30</v>
      </c>
      <c r="AF95" s="4">
        <v>1.6</v>
      </c>
      <c r="AG95" s="141">
        <v>29</v>
      </c>
      <c r="AH95" s="141">
        <v>520</v>
      </c>
      <c r="AI95" s="144">
        <f t="shared" si="98"/>
        <v>1918.5</v>
      </c>
      <c r="AJ95" s="141">
        <v>115</v>
      </c>
      <c r="AK95" s="23">
        <f t="shared" si="99"/>
        <v>0.697213595499958</v>
      </c>
      <c r="AL95" s="143">
        <f t="shared" si="100"/>
        <v>1804.0401783561413</v>
      </c>
      <c r="AM95" s="143">
        <f t="shared" si="101"/>
        <v>5188.664285369826</v>
      </c>
      <c r="AN95" s="290">
        <f t="shared" si="102"/>
        <v>2685.8999999999996</v>
      </c>
      <c r="AO95" s="23">
        <f t="shared" si="103"/>
        <v>405.36439729451763</v>
      </c>
      <c r="AP95" s="86">
        <f t="shared" si="104"/>
        <v>64.85830356712282</v>
      </c>
      <c r="AQ95" s="443" t="str">
        <f t="shared" si="105"/>
        <v>OK</v>
      </c>
      <c r="AR95" s="444">
        <f t="shared" si="106"/>
        <v>723.5</v>
      </c>
      <c r="AS95" s="145">
        <f t="shared" si="107"/>
        <v>60.291666666666664</v>
      </c>
      <c r="AT95" s="143">
        <f t="shared" si="108"/>
        <v>2587.5</v>
      </c>
      <c r="AU95" s="143">
        <f t="shared" si="109"/>
        <v>215.625</v>
      </c>
      <c r="AV95" s="141">
        <v>375</v>
      </c>
      <c r="AW95" s="445">
        <f t="shared" si="110"/>
        <v>56.5234375</v>
      </c>
      <c r="AX95" s="446"/>
      <c r="AY95" s="447">
        <v>0</v>
      </c>
      <c r="AZ95" s="448">
        <f t="shared" si="111"/>
        <v>2.9901960784313726</v>
      </c>
      <c r="BA95" s="7">
        <v>1230</v>
      </c>
      <c r="BB95" s="449">
        <f t="shared" si="112"/>
        <v>0.5847252155172413</v>
      </c>
      <c r="BC95" s="445">
        <f t="shared" si="113"/>
        <v>0.6375581502312868</v>
      </c>
      <c r="BD95" s="102">
        <f t="shared" si="114"/>
        <v>0.75</v>
      </c>
      <c r="BE95" s="450" t="str">
        <f t="shared" si="115"/>
        <v>OK</v>
      </c>
      <c r="BF95" s="450" t="str">
        <f t="shared" si="116"/>
        <v>OK</v>
      </c>
    </row>
    <row r="96" spans="2:58" ht="11.25">
      <c r="B96" s="119">
        <v>1</v>
      </c>
      <c r="C96" s="508">
        <f t="shared" si="89"/>
        <v>0.875</v>
      </c>
      <c r="D96" s="54"/>
      <c r="E96" s="451" t="s">
        <v>174</v>
      </c>
      <c r="F96" s="79" t="s">
        <v>175</v>
      </c>
      <c r="G96" s="458" t="s">
        <v>158</v>
      </c>
      <c r="H96" s="295">
        <v>35</v>
      </c>
      <c r="I96" s="390"/>
      <c r="J96" s="80">
        <v>10.3</v>
      </c>
      <c r="K96" s="80">
        <v>17.7</v>
      </c>
      <c r="L96" s="296">
        <v>0.3</v>
      </c>
      <c r="M96" s="32"/>
      <c r="N96" s="32"/>
      <c r="O96" s="157" t="str">
        <f t="shared" si="90"/>
        <v>NO</v>
      </c>
      <c r="P96" s="34">
        <v>50</v>
      </c>
      <c r="Q96" s="33">
        <v>1.5</v>
      </c>
      <c r="R96" s="34">
        <v>4</v>
      </c>
      <c r="S96" s="29">
        <v>4</v>
      </c>
      <c r="T96" s="34">
        <v>115</v>
      </c>
      <c r="U96" s="31">
        <v>270</v>
      </c>
      <c r="V96" s="29">
        <v>25</v>
      </c>
      <c r="W96" s="30">
        <f t="shared" si="91"/>
        <v>75</v>
      </c>
      <c r="X96" s="146">
        <f t="shared" si="92"/>
        <v>515</v>
      </c>
      <c r="Y96" s="147">
        <f t="shared" si="93"/>
        <v>2.019607843137255</v>
      </c>
      <c r="Z96" s="294">
        <f t="shared" si="94"/>
        <v>457.32757352941184</v>
      </c>
      <c r="AA96" s="131">
        <f t="shared" si="95"/>
        <v>1</v>
      </c>
      <c r="AB96" s="128">
        <f t="shared" si="96"/>
        <v>159.29999999999998</v>
      </c>
      <c r="AC96" s="33">
        <v>17.2</v>
      </c>
      <c r="AD96" s="52">
        <f t="shared" si="97"/>
        <v>59.88372093023256</v>
      </c>
      <c r="AE96" s="34">
        <v>30</v>
      </c>
      <c r="AF96" s="34">
        <v>1.6</v>
      </c>
      <c r="AG96" s="31">
        <v>29</v>
      </c>
      <c r="AH96" s="31">
        <v>520</v>
      </c>
      <c r="AI96" s="112">
        <f t="shared" si="98"/>
        <v>1918.5</v>
      </c>
      <c r="AJ96" s="31">
        <v>115</v>
      </c>
      <c r="AK96" s="30">
        <f t="shared" si="99"/>
        <v>0.697213595499958</v>
      </c>
      <c r="AL96" s="52">
        <f t="shared" si="100"/>
        <v>1804.0401783561413</v>
      </c>
      <c r="AM96" s="52">
        <f t="shared" si="101"/>
        <v>5188.664285369826</v>
      </c>
      <c r="AN96" s="85">
        <f t="shared" si="102"/>
        <v>2685.8999999999996</v>
      </c>
      <c r="AO96" s="30">
        <f t="shared" si="103"/>
        <v>405.36439729451763</v>
      </c>
      <c r="AP96" s="128">
        <f t="shared" si="104"/>
        <v>64.85830356712282</v>
      </c>
      <c r="AQ96" s="293" t="str">
        <f t="shared" si="105"/>
        <v>OK</v>
      </c>
      <c r="AR96" s="120">
        <f t="shared" si="106"/>
        <v>723.5</v>
      </c>
      <c r="AS96" s="255">
        <f t="shared" si="107"/>
        <v>60.291666666666664</v>
      </c>
      <c r="AT96" s="52">
        <f t="shared" si="108"/>
        <v>2587.5</v>
      </c>
      <c r="AU96" s="52">
        <f t="shared" si="109"/>
        <v>215.625</v>
      </c>
      <c r="AV96" s="31">
        <v>375</v>
      </c>
      <c r="AW96" s="63">
        <f t="shared" si="110"/>
        <v>56.5234375</v>
      </c>
      <c r="AX96" s="119"/>
      <c r="AY96" s="125">
        <v>0</v>
      </c>
      <c r="AZ96" s="256">
        <f t="shared" si="111"/>
        <v>2.9901960784313726</v>
      </c>
      <c r="BA96" s="67">
        <v>1230</v>
      </c>
      <c r="BB96" s="257">
        <f t="shared" si="112"/>
        <v>0.5847252155172413</v>
      </c>
      <c r="BC96" s="63">
        <f t="shared" si="113"/>
        <v>0.6375581502312868</v>
      </c>
      <c r="BD96" s="130">
        <f t="shared" si="114"/>
        <v>0.75</v>
      </c>
      <c r="BE96" s="91" t="str">
        <f t="shared" si="115"/>
        <v>OK</v>
      </c>
      <c r="BF96" s="91" t="str">
        <f t="shared" si="116"/>
        <v>OK</v>
      </c>
    </row>
    <row r="97" spans="2:58" ht="11.25">
      <c r="B97" s="119">
        <v>1</v>
      </c>
      <c r="C97" s="508">
        <f t="shared" si="89"/>
        <v>0.875</v>
      </c>
      <c r="D97" s="54"/>
      <c r="E97" s="357" t="s">
        <v>161</v>
      </c>
      <c r="F97" s="79" t="s">
        <v>162</v>
      </c>
      <c r="G97" s="458" t="s">
        <v>158</v>
      </c>
      <c r="H97" s="295">
        <v>35</v>
      </c>
      <c r="I97" s="390"/>
      <c r="J97" s="29">
        <v>10.3</v>
      </c>
      <c r="K97" s="29">
        <v>17.7</v>
      </c>
      <c r="L97" s="32">
        <v>0.3</v>
      </c>
      <c r="M97" s="32"/>
      <c r="N97" s="32"/>
      <c r="O97" s="157" t="str">
        <f t="shared" si="90"/>
        <v>NO</v>
      </c>
      <c r="P97" s="34">
        <v>50</v>
      </c>
      <c r="Q97" s="33">
        <v>1.5</v>
      </c>
      <c r="R97" s="34">
        <v>4</v>
      </c>
      <c r="S97" s="29">
        <v>4</v>
      </c>
      <c r="T97" s="34">
        <v>115</v>
      </c>
      <c r="U97" s="31">
        <v>270</v>
      </c>
      <c r="V97" s="29">
        <v>25</v>
      </c>
      <c r="W97" s="30">
        <f t="shared" si="91"/>
        <v>75</v>
      </c>
      <c r="X97" s="146">
        <f t="shared" si="92"/>
        <v>515</v>
      </c>
      <c r="Y97" s="147">
        <f t="shared" si="93"/>
        <v>2.019607843137255</v>
      </c>
      <c r="Z97" s="294">
        <f t="shared" si="94"/>
        <v>457.32757352941184</v>
      </c>
      <c r="AA97" s="131">
        <f t="shared" si="95"/>
        <v>1</v>
      </c>
      <c r="AB97" s="128">
        <f t="shared" si="96"/>
        <v>159.29999999999998</v>
      </c>
      <c r="AC97" s="33">
        <v>17.2</v>
      </c>
      <c r="AD97" s="52">
        <f t="shared" si="97"/>
        <v>59.88372093023256</v>
      </c>
      <c r="AE97" s="34">
        <v>30</v>
      </c>
      <c r="AF97" s="34">
        <v>1.6</v>
      </c>
      <c r="AG97" s="31">
        <v>29</v>
      </c>
      <c r="AH97" s="31">
        <v>520</v>
      </c>
      <c r="AI97" s="112">
        <f t="shared" si="98"/>
        <v>1918.5</v>
      </c>
      <c r="AJ97" s="31">
        <v>115</v>
      </c>
      <c r="AK97" s="30">
        <f t="shared" si="99"/>
        <v>0.697213595499958</v>
      </c>
      <c r="AL97" s="52">
        <f t="shared" si="100"/>
        <v>1804.0401783561413</v>
      </c>
      <c r="AM97" s="52">
        <f t="shared" si="101"/>
        <v>5188.664285369826</v>
      </c>
      <c r="AN97" s="85">
        <f t="shared" si="102"/>
        <v>2685.8999999999996</v>
      </c>
      <c r="AO97" s="30">
        <f t="shared" si="103"/>
        <v>405.36439729451763</v>
      </c>
      <c r="AP97" s="128">
        <f t="shared" si="104"/>
        <v>64.85830356712282</v>
      </c>
      <c r="AQ97" s="293" t="str">
        <f t="shared" si="105"/>
        <v>OK</v>
      </c>
      <c r="AR97" s="120">
        <f t="shared" si="106"/>
        <v>723.5</v>
      </c>
      <c r="AS97" s="255">
        <f t="shared" si="107"/>
        <v>60.291666666666664</v>
      </c>
      <c r="AT97" s="52">
        <f t="shared" si="108"/>
        <v>2587.5</v>
      </c>
      <c r="AU97" s="52">
        <f t="shared" si="109"/>
        <v>215.625</v>
      </c>
      <c r="AV97" s="31">
        <v>375</v>
      </c>
      <c r="AW97" s="63">
        <f t="shared" si="110"/>
        <v>56.5234375</v>
      </c>
      <c r="AX97" s="119"/>
      <c r="AY97" s="125">
        <v>0</v>
      </c>
      <c r="AZ97" s="256">
        <f t="shared" si="111"/>
        <v>2.9901960784313726</v>
      </c>
      <c r="BA97" s="67">
        <v>1230</v>
      </c>
      <c r="BB97" s="257">
        <f t="shared" si="112"/>
        <v>0.5847252155172413</v>
      </c>
      <c r="BC97" s="63">
        <f t="shared" si="113"/>
        <v>0.6375581502312868</v>
      </c>
      <c r="BD97" s="130">
        <f t="shared" si="114"/>
        <v>0.75</v>
      </c>
      <c r="BE97" s="91" t="str">
        <f t="shared" si="115"/>
        <v>OK</v>
      </c>
      <c r="BF97" s="91" t="str">
        <f t="shared" si="116"/>
        <v>OK</v>
      </c>
    </row>
    <row r="98" spans="2:58" ht="12" thickBot="1">
      <c r="B98" s="165">
        <v>1</v>
      </c>
      <c r="C98" s="506">
        <f t="shared" si="89"/>
        <v>0.875</v>
      </c>
      <c r="D98" s="54"/>
      <c r="E98" s="355" t="s">
        <v>177</v>
      </c>
      <c r="F98" s="438" t="s">
        <v>178</v>
      </c>
      <c r="G98" s="115" t="s">
        <v>158</v>
      </c>
      <c r="H98" s="434">
        <v>35</v>
      </c>
      <c r="I98" s="274"/>
      <c r="J98" s="80">
        <v>10.3</v>
      </c>
      <c r="K98" s="80">
        <v>17.7</v>
      </c>
      <c r="L98" s="296">
        <v>0.3</v>
      </c>
      <c r="M98" s="452"/>
      <c r="N98" s="452"/>
      <c r="O98" s="392" t="str">
        <f t="shared" si="90"/>
        <v>NO</v>
      </c>
      <c r="P98" s="297">
        <v>50</v>
      </c>
      <c r="Q98" s="64">
        <v>1.5</v>
      </c>
      <c r="R98" s="297">
        <v>4</v>
      </c>
      <c r="S98" s="80">
        <v>4</v>
      </c>
      <c r="T98" s="297">
        <v>115</v>
      </c>
      <c r="U98" s="81">
        <v>270</v>
      </c>
      <c r="V98" s="80">
        <v>25</v>
      </c>
      <c r="W98" s="82">
        <f t="shared" si="91"/>
        <v>75</v>
      </c>
      <c r="X98" s="83">
        <f t="shared" si="92"/>
        <v>515</v>
      </c>
      <c r="Y98" s="84">
        <f t="shared" si="93"/>
        <v>2.019607843137255</v>
      </c>
      <c r="Z98" s="303">
        <f t="shared" si="94"/>
        <v>457.32757352941184</v>
      </c>
      <c r="AA98" s="132">
        <f t="shared" si="95"/>
        <v>1</v>
      </c>
      <c r="AB98" s="453">
        <f t="shared" si="96"/>
        <v>159.29999999999998</v>
      </c>
      <c r="AC98" s="64">
        <v>17.2</v>
      </c>
      <c r="AD98" s="85">
        <f t="shared" si="97"/>
        <v>59.88372093023256</v>
      </c>
      <c r="AE98" s="297">
        <v>30</v>
      </c>
      <c r="AF98" s="297">
        <v>1.6</v>
      </c>
      <c r="AG98" s="81">
        <v>29</v>
      </c>
      <c r="AH98" s="81">
        <v>520</v>
      </c>
      <c r="AI98" s="454">
        <f t="shared" si="98"/>
        <v>1918.5</v>
      </c>
      <c r="AJ98" s="81">
        <v>115</v>
      </c>
      <c r="AK98" s="124">
        <f t="shared" si="99"/>
        <v>0.697213595499958</v>
      </c>
      <c r="AL98" s="85">
        <f t="shared" si="100"/>
        <v>1804.0401783561413</v>
      </c>
      <c r="AM98" s="85">
        <f t="shared" si="101"/>
        <v>5188.664285369826</v>
      </c>
      <c r="AN98" s="252">
        <f t="shared" si="102"/>
        <v>2685.8999999999996</v>
      </c>
      <c r="AO98" s="124">
        <f t="shared" si="103"/>
        <v>405.36439729451763</v>
      </c>
      <c r="AP98" s="129">
        <f t="shared" si="104"/>
        <v>64.85830356712282</v>
      </c>
      <c r="AQ98" s="299" t="str">
        <f t="shared" si="105"/>
        <v>OK</v>
      </c>
      <c r="AR98" s="114">
        <f t="shared" si="106"/>
        <v>723.5</v>
      </c>
      <c r="AS98" s="298">
        <f t="shared" si="107"/>
        <v>60.291666666666664</v>
      </c>
      <c r="AT98" s="85">
        <f t="shared" si="108"/>
        <v>2587.5</v>
      </c>
      <c r="AU98" s="85">
        <f t="shared" si="109"/>
        <v>215.625</v>
      </c>
      <c r="AV98" s="81">
        <v>375</v>
      </c>
      <c r="AW98" s="88">
        <f t="shared" si="110"/>
        <v>56.5234375</v>
      </c>
      <c r="AX98" s="254"/>
      <c r="AY98" s="300">
        <v>0</v>
      </c>
      <c r="AZ98" s="301">
        <f t="shared" si="111"/>
        <v>2.9901960784313726</v>
      </c>
      <c r="BA98" s="87">
        <v>1230</v>
      </c>
      <c r="BB98" s="302">
        <f t="shared" si="112"/>
        <v>0.5847252155172413</v>
      </c>
      <c r="BC98" s="88">
        <f t="shared" si="113"/>
        <v>0.6375581502312868</v>
      </c>
      <c r="BD98" s="363">
        <f t="shared" si="114"/>
        <v>0.75</v>
      </c>
      <c r="BE98" s="89" t="str">
        <f t="shared" si="115"/>
        <v>OK</v>
      </c>
      <c r="BF98" s="89" t="str">
        <f t="shared" si="116"/>
        <v>OK</v>
      </c>
    </row>
    <row r="99" spans="2:58" ht="11.25">
      <c r="B99" s="254">
        <v>1</v>
      </c>
      <c r="C99" s="505">
        <f t="shared" si="89"/>
        <v>0.385</v>
      </c>
      <c r="D99" s="54"/>
      <c r="E99" s="371" t="s">
        <v>183</v>
      </c>
      <c r="F99" s="421" t="s">
        <v>226</v>
      </c>
      <c r="G99" s="123" t="s">
        <v>219</v>
      </c>
      <c r="H99" s="287">
        <v>14</v>
      </c>
      <c r="I99" s="287" t="s">
        <v>89</v>
      </c>
      <c r="J99" s="22">
        <v>4.16</v>
      </c>
      <c r="K99" s="22">
        <v>11.9</v>
      </c>
      <c r="L99" s="25">
        <v>0.2</v>
      </c>
      <c r="M99" s="22">
        <v>54.3</v>
      </c>
      <c r="N99" s="154">
        <f>IF(M99&lt;260,5,"NO")</f>
        <v>5</v>
      </c>
      <c r="O99" s="372">
        <f t="shared" si="90"/>
        <v>1</v>
      </c>
      <c r="P99" s="4">
        <v>50</v>
      </c>
      <c r="Q99" s="6">
        <v>1.5</v>
      </c>
      <c r="R99" s="4">
        <v>4</v>
      </c>
      <c r="S99" s="140">
        <v>4</v>
      </c>
      <c r="T99" s="4">
        <v>115</v>
      </c>
      <c r="U99" s="141">
        <v>37.5</v>
      </c>
      <c r="V99" s="140">
        <v>27.5</v>
      </c>
      <c r="W99" s="142">
        <f t="shared" si="91"/>
        <v>37.5</v>
      </c>
      <c r="X99" s="440">
        <f t="shared" si="92"/>
        <v>208</v>
      </c>
      <c r="Y99" s="441">
        <f t="shared" si="93"/>
        <v>1.6313725490196078</v>
      </c>
      <c r="Z99" s="442">
        <f t="shared" si="94"/>
        <v>142.49529411764706</v>
      </c>
      <c r="AA99" s="162">
        <f t="shared" si="95"/>
        <v>0.9</v>
      </c>
      <c r="AB99" s="51">
        <f t="shared" si="96"/>
        <v>64.26</v>
      </c>
      <c r="AC99" s="6">
        <v>17.2</v>
      </c>
      <c r="AD99" s="143">
        <f t="shared" si="97"/>
        <v>24.186046511627907</v>
      </c>
      <c r="AE99" s="4">
        <v>30</v>
      </c>
      <c r="AF99" s="4">
        <v>1.6</v>
      </c>
      <c r="AG99" s="141">
        <v>29</v>
      </c>
      <c r="AH99" s="141">
        <v>520</v>
      </c>
      <c r="AI99" s="144">
        <f t="shared" si="98"/>
        <v>723.375</v>
      </c>
      <c r="AJ99" s="141">
        <v>115</v>
      </c>
      <c r="AK99" s="23">
        <f t="shared" si="99"/>
        <v>1</v>
      </c>
      <c r="AL99" s="143">
        <f t="shared" si="100"/>
        <v>359.375</v>
      </c>
      <c r="AM99" s="143">
        <f t="shared" si="101"/>
        <v>1443.05</v>
      </c>
      <c r="AN99" s="290">
        <f t="shared" si="102"/>
        <v>1012.7249999999999</v>
      </c>
      <c r="AO99" s="23">
        <f t="shared" si="103"/>
        <v>136.4133203125</v>
      </c>
      <c r="AP99" s="86">
        <f t="shared" si="104"/>
        <v>19.8419375</v>
      </c>
      <c r="AQ99" s="443" t="str">
        <f t="shared" si="105"/>
        <v>OK</v>
      </c>
      <c r="AR99" s="444">
        <f t="shared" si="106"/>
        <v>109.625</v>
      </c>
      <c r="AS99" s="145">
        <f t="shared" si="107"/>
        <v>9.135416666666666</v>
      </c>
      <c r="AT99" s="143">
        <f t="shared" si="108"/>
        <v>359.375</v>
      </c>
      <c r="AU99" s="143">
        <f t="shared" si="109"/>
        <v>29.947916666666668</v>
      </c>
      <c r="AV99" s="141">
        <v>88.6</v>
      </c>
      <c r="AW99" s="445">
        <f t="shared" si="110"/>
        <v>10.36298828125</v>
      </c>
      <c r="AX99" s="446"/>
      <c r="AY99" s="447">
        <v>0</v>
      </c>
      <c r="AZ99" s="448">
        <f t="shared" si="111"/>
        <v>3.1843137254901963</v>
      </c>
      <c r="BA99" s="7">
        <v>262</v>
      </c>
      <c r="BB99" s="449">
        <f t="shared" si="112"/>
        <v>0.5490238109228444</v>
      </c>
      <c r="BC99" s="445">
        <f t="shared" si="113"/>
        <v>0.6086419274474986</v>
      </c>
      <c r="BD99" s="102">
        <f t="shared" si="114"/>
        <v>0.8250000000000001</v>
      </c>
      <c r="BE99" s="450" t="str">
        <f t="shared" si="115"/>
        <v>OK</v>
      </c>
      <c r="BF99" s="450" t="str">
        <f t="shared" si="116"/>
        <v>OK</v>
      </c>
    </row>
    <row r="100" spans="2:58" ht="11.25">
      <c r="B100" s="119">
        <v>1</v>
      </c>
      <c r="C100" s="508">
        <f t="shared" si="89"/>
        <v>0.385</v>
      </c>
      <c r="D100" s="54"/>
      <c r="E100" s="451" t="s">
        <v>227</v>
      </c>
      <c r="F100" s="79" t="s">
        <v>174</v>
      </c>
      <c r="G100" s="249" t="s">
        <v>219</v>
      </c>
      <c r="H100" s="258">
        <v>14</v>
      </c>
      <c r="I100" s="258" t="s">
        <v>89</v>
      </c>
      <c r="J100" s="29">
        <v>4.16</v>
      </c>
      <c r="K100" s="29">
        <v>11.9</v>
      </c>
      <c r="L100" s="32">
        <v>0.2</v>
      </c>
      <c r="M100" s="29">
        <v>54.3</v>
      </c>
      <c r="N100" s="155">
        <f>IF(M100&lt;260,5,"NO")</f>
        <v>5</v>
      </c>
      <c r="O100" s="157">
        <f t="shared" si="90"/>
        <v>1</v>
      </c>
      <c r="P100" s="34">
        <v>50</v>
      </c>
      <c r="Q100" s="33">
        <v>1.5</v>
      </c>
      <c r="R100" s="34">
        <v>4</v>
      </c>
      <c r="S100" s="29">
        <v>4</v>
      </c>
      <c r="T100" s="34">
        <v>115</v>
      </c>
      <c r="U100" s="31">
        <v>37.5</v>
      </c>
      <c r="V100" s="29">
        <v>27.5</v>
      </c>
      <c r="W100" s="30">
        <f t="shared" si="91"/>
        <v>37.5</v>
      </c>
      <c r="X100" s="146">
        <f t="shared" si="92"/>
        <v>208</v>
      </c>
      <c r="Y100" s="147">
        <f t="shared" si="93"/>
        <v>1.6313725490196078</v>
      </c>
      <c r="Z100" s="294">
        <f t="shared" si="94"/>
        <v>142.49529411764706</v>
      </c>
      <c r="AA100" s="131">
        <f t="shared" si="95"/>
        <v>0.9</v>
      </c>
      <c r="AB100" s="128">
        <f t="shared" si="96"/>
        <v>64.26</v>
      </c>
      <c r="AC100" s="33">
        <v>17.2</v>
      </c>
      <c r="AD100" s="52">
        <f t="shared" si="97"/>
        <v>24.186046511627907</v>
      </c>
      <c r="AE100" s="34">
        <v>30</v>
      </c>
      <c r="AF100" s="34">
        <v>1.6</v>
      </c>
      <c r="AG100" s="31">
        <v>29</v>
      </c>
      <c r="AH100" s="31">
        <v>520</v>
      </c>
      <c r="AI100" s="112">
        <f t="shared" si="98"/>
        <v>723.375</v>
      </c>
      <c r="AJ100" s="31">
        <v>115</v>
      </c>
      <c r="AK100" s="124">
        <f t="shared" si="99"/>
        <v>1</v>
      </c>
      <c r="AL100" s="52">
        <f t="shared" si="100"/>
        <v>359.375</v>
      </c>
      <c r="AM100" s="52">
        <f t="shared" si="101"/>
        <v>1443.05</v>
      </c>
      <c r="AN100" s="85">
        <f t="shared" si="102"/>
        <v>1012.7249999999999</v>
      </c>
      <c r="AO100" s="30">
        <f t="shared" si="103"/>
        <v>136.4133203125</v>
      </c>
      <c r="AP100" s="128">
        <f t="shared" si="104"/>
        <v>19.8419375</v>
      </c>
      <c r="AQ100" s="293" t="str">
        <f t="shared" si="105"/>
        <v>OK</v>
      </c>
      <c r="AR100" s="120">
        <f t="shared" si="106"/>
        <v>109.625</v>
      </c>
      <c r="AS100" s="255">
        <f>AR100/12</f>
        <v>9.135416666666666</v>
      </c>
      <c r="AT100" s="52">
        <f t="shared" si="108"/>
        <v>359.375</v>
      </c>
      <c r="AU100" s="52">
        <f>AT100/12</f>
        <v>29.947916666666668</v>
      </c>
      <c r="AV100" s="31">
        <v>88.6</v>
      </c>
      <c r="AW100" s="63">
        <f t="shared" si="110"/>
        <v>10.36298828125</v>
      </c>
      <c r="AX100" s="119"/>
      <c r="AY100" s="125">
        <v>0</v>
      </c>
      <c r="AZ100" s="256">
        <f t="shared" si="111"/>
        <v>3.1843137254901963</v>
      </c>
      <c r="BA100" s="67">
        <v>262</v>
      </c>
      <c r="BB100" s="257">
        <f t="shared" si="112"/>
        <v>0.5490238109228444</v>
      </c>
      <c r="BC100" s="63">
        <f t="shared" si="113"/>
        <v>0.6086419274474986</v>
      </c>
      <c r="BD100" s="130">
        <f t="shared" si="114"/>
        <v>0.8250000000000001</v>
      </c>
      <c r="BE100" s="91" t="str">
        <f t="shared" si="115"/>
        <v>OK</v>
      </c>
      <c r="BF100" s="91" t="str">
        <f t="shared" si="116"/>
        <v>OK</v>
      </c>
    </row>
    <row r="101" spans="2:58" ht="11.25">
      <c r="B101" s="119">
        <v>1</v>
      </c>
      <c r="C101" s="508">
        <f t="shared" si="89"/>
        <v>0.385</v>
      </c>
      <c r="D101" s="54"/>
      <c r="E101" s="451" t="s">
        <v>162</v>
      </c>
      <c r="F101" s="79" t="s">
        <v>240</v>
      </c>
      <c r="G101" s="458" t="s">
        <v>219</v>
      </c>
      <c r="H101" s="295">
        <v>14</v>
      </c>
      <c r="I101" s="295" t="s">
        <v>89</v>
      </c>
      <c r="J101" s="80">
        <v>4.16</v>
      </c>
      <c r="K101" s="80">
        <v>11.9</v>
      </c>
      <c r="L101" s="296">
        <v>0.2</v>
      </c>
      <c r="M101" s="80">
        <v>54.3</v>
      </c>
      <c r="N101" s="391">
        <f>IF(M101&lt;260,5,"NO")</f>
        <v>5</v>
      </c>
      <c r="O101" s="157">
        <f t="shared" si="90"/>
        <v>1</v>
      </c>
      <c r="P101" s="34">
        <v>50</v>
      </c>
      <c r="Q101" s="33">
        <v>1.5</v>
      </c>
      <c r="R101" s="34">
        <v>4</v>
      </c>
      <c r="S101" s="29">
        <v>4</v>
      </c>
      <c r="T101" s="34">
        <v>115</v>
      </c>
      <c r="U101" s="31">
        <v>37.5</v>
      </c>
      <c r="V101" s="29">
        <v>27.5</v>
      </c>
      <c r="W101" s="30">
        <f t="shared" si="91"/>
        <v>37.5</v>
      </c>
      <c r="X101" s="146">
        <f t="shared" si="92"/>
        <v>208</v>
      </c>
      <c r="Y101" s="147">
        <f t="shared" si="93"/>
        <v>1.6313725490196078</v>
      </c>
      <c r="Z101" s="294">
        <f t="shared" si="94"/>
        <v>142.49529411764706</v>
      </c>
      <c r="AA101" s="131">
        <f t="shared" si="95"/>
        <v>0.9</v>
      </c>
      <c r="AB101" s="128">
        <f t="shared" si="96"/>
        <v>64.26</v>
      </c>
      <c r="AC101" s="33">
        <v>17.2</v>
      </c>
      <c r="AD101" s="52">
        <f t="shared" si="97"/>
        <v>24.186046511627907</v>
      </c>
      <c r="AE101" s="34">
        <v>30</v>
      </c>
      <c r="AF101" s="34">
        <v>1.6</v>
      </c>
      <c r="AG101" s="31">
        <v>29</v>
      </c>
      <c r="AH101" s="31">
        <v>520</v>
      </c>
      <c r="AI101" s="112">
        <f t="shared" si="98"/>
        <v>723.375</v>
      </c>
      <c r="AJ101" s="31">
        <v>115</v>
      </c>
      <c r="AK101" s="30">
        <f t="shared" si="99"/>
        <v>1</v>
      </c>
      <c r="AL101" s="52">
        <f t="shared" si="100"/>
        <v>359.375</v>
      </c>
      <c r="AM101" s="52">
        <f t="shared" si="101"/>
        <v>1443.05</v>
      </c>
      <c r="AN101" s="85">
        <f t="shared" si="102"/>
        <v>1012.7249999999999</v>
      </c>
      <c r="AO101" s="30">
        <f t="shared" si="103"/>
        <v>136.4133203125</v>
      </c>
      <c r="AP101" s="128">
        <f t="shared" si="104"/>
        <v>19.8419375</v>
      </c>
      <c r="AQ101" s="293" t="str">
        <f t="shared" si="105"/>
        <v>OK</v>
      </c>
      <c r="AR101" s="120">
        <f t="shared" si="106"/>
        <v>109.625</v>
      </c>
      <c r="AS101" s="255">
        <f>AR101/12</f>
        <v>9.135416666666666</v>
      </c>
      <c r="AT101" s="52">
        <f t="shared" si="108"/>
        <v>359.375</v>
      </c>
      <c r="AU101" s="52">
        <f>AT101/12</f>
        <v>29.947916666666668</v>
      </c>
      <c r="AV101" s="31">
        <v>88.6</v>
      </c>
      <c r="AW101" s="63">
        <f t="shared" si="110"/>
        <v>10.36298828125</v>
      </c>
      <c r="AX101" s="119"/>
      <c r="AY101" s="125">
        <v>0</v>
      </c>
      <c r="AZ101" s="256">
        <f t="shared" si="111"/>
        <v>3.1843137254901963</v>
      </c>
      <c r="BA101" s="67">
        <v>262</v>
      </c>
      <c r="BB101" s="257">
        <f t="shared" si="112"/>
        <v>0.5490238109228444</v>
      </c>
      <c r="BC101" s="63">
        <f t="shared" si="113"/>
        <v>0.6086419274474986</v>
      </c>
      <c r="BD101" s="130">
        <f t="shared" si="114"/>
        <v>0.8250000000000001</v>
      </c>
      <c r="BE101" s="91" t="str">
        <f t="shared" si="115"/>
        <v>OK</v>
      </c>
      <c r="BF101" s="91" t="str">
        <f t="shared" si="116"/>
        <v>OK</v>
      </c>
    </row>
    <row r="102" spans="2:58" ht="12" thickBot="1">
      <c r="B102" s="165">
        <v>1</v>
      </c>
      <c r="C102" s="506">
        <f t="shared" si="89"/>
        <v>0.385</v>
      </c>
      <c r="D102" s="54"/>
      <c r="E102" s="451" t="s">
        <v>241</v>
      </c>
      <c r="F102" s="79" t="s">
        <v>178</v>
      </c>
      <c r="G102" s="115" t="s">
        <v>219</v>
      </c>
      <c r="H102" s="153">
        <v>14</v>
      </c>
      <c r="I102" s="153" t="s">
        <v>89</v>
      </c>
      <c r="J102" s="100">
        <v>4.16</v>
      </c>
      <c r="K102" s="100">
        <v>11.9</v>
      </c>
      <c r="L102" s="116">
        <v>0.2</v>
      </c>
      <c r="M102" s="100">
        <v>54.3</v>
      </c>
      <c r="N102" s="156">
        <f>IF(M102&lt;260,5,"NO")</f>
        <v>5</v>
      </c>
      <c r="O102" s="158">
        <f t="shared" si="90"/>
        <v>1</v>
      </c>
      <c r="P102" s="34">
        <v>50</v>
      </c>
      <c r="Q102" s="33">
        <v>1.5</v>
      </c>
      <c r="R102" s="34">
        <v>4</v>
      </c>
      <c r="S102" s="29">
        <v>4</v>
      </c>
      <c r="T102" s="34">
        <v>115</v>
      </c>
      <c r="U102" s="31">
        <v>37.5</v>
      </c>
      <c r="V102" s="29">
        <v>27.5</v>
      </c>
      <c r="W102" s="30">
        <f t="shared" si="91"/>
        <v>37.5</v>
      </c>
      <c r="X102" s="146">
        <f t="shared" si="92"/>
        <v>208</v>
      </c>
      <c r="Y102" s="147">
        <f t="shared" si="93"/>
        <v>1.6313725490196078</v>
      </c>
      <c r="Z102" s="294">
        <f t="shared" si="94"/>
        <v>142.49529411764706</v>
      </c>
      <c r="AA102" s="131">
        <f t="shared" si="95"/>
        <v>0.9</v>
      </c>
      <c r="AB102" s="128">
        <f t="shared" si="96"/>
        <v>64.26</v>
      </c>
      <c r="AC102" s="33">
        <v>17.2</v>
      </c>
      <c r="AD102" s="52">
        <f t="shared" si="97"/>
        <v>24.186046511627907</v>
      </c>
      <c r="AE102" s="34">
        <v>30</v>
      </c>
      <c r="AF102" s="34">
        <v>1.6</v>
      </c>
      <c r="AG102" s="31">
        <v>29</v>
      </c>
      <c r="AH102" s="31">
        <v>520</v>
      </c>
      <c r="AI102" s="112">
        <f t="shared" si="98"/>
        <v>723.375</v>
      </c>
      <c r="AJ102" s="31">
        <v>115</v>
      </c>
      <c r="AK102" s="124">
        <f t="shared" si="99"/>
        <v>1</v>
      </c>
      <c r="AL102" s="52">
        <f t="shared" si="100"/>
        <v>359.375</v>
      </c>
      <c r="AM102" s="52">
        <f t="shared" si="101"/>
        <v>1443.05</v>
      </c>
      <c r="AN102" s="85">
        <f t="shared" si="102"/>
        <v>1012.7249999999999</v>
      </c>
      <c r="AO102" s="30">
        <f t="shared" si="103"/>
        <v>136.4133203125</v>
      </c>
      <c r="AP102" s="129">
        <f t="shared" si="104"/>
        <v>19.8419375</v>
      </c>
      <c r="AQ102" s="293" t="str">
        <f t="shared" si="105"/>
        <v>OK</v>
      </c>
      <c r="AR102" s="120">
        <f t="shared" si="106"/>
        <v>109.625</v>
      </c>
      <c r="AS102" s="255">
        <f>AR102/12</f>
        <v>9.135416666666666</v>
      </c>
      <c r="AT102" s="52">
        <f t="shared" si="108"/>
        <v>359.375</v>
      </c>
      <c r="AU102" s="52">
        <f>AT102/12</f>
        <v>29.947916666666668</v>
      </c>
      <c r="AV102" s="31">
        <v>88.6</v>
      </c>
      <c r="AW102" s="63">
        <f t="shared" si="110"/>
        <v>10.36298828125</v>
      </c>
      <c r="AX102" s="119"/>
      <c r="AY102" s="125">
        <v>0</v>
      </c>
      <c r="AZ102" s="256">
        <f t="shared" si="111"/>
        <v>3.1843137254901963</v>
      </c>
      <c r="BA102" s="67">
        <v>262</v>
      </c>
      <c r="BB102" s="257">
        <f t="shared" si="112"/>
        <v>0.5490238109228444</v>
      </c>
      <c r="BC102" s="63">
        <f t="shared" si="113"/>
        <v>0.6086419274474986</v>
      </c>
      <c r="BD102" s="130">
        <f t="shared" si="114"/>
        <v>0.8250000000000001</v>
      </c>
      <c r="BE102" s="91" t="str">
        <f t="shared" si="115"/>
        <v>OK</v>
      </c>
      <c r="BF102" s="91" t="str">
        <f t="shared" si="116"/>
        <v>OK</v>
      </c>
    </row>
    <row r="103" spans="2:58" ht="11.25">
      <c r="B103" s="254">
        <v>1</v>
      </c>
      <c r="C103" s="505">
        <f t="shared" si="89"/>
        <v>0.715</v>
      </c>
      <c r="D103" s="54"/>
      <c r="E103" s="371" t="s">
        <v>204</v>
      </c>
      <c r="F103" s="421" t="s">
        <v>234</v>
      </c>
      <c r="G103" s="458" t="s">
        <v>170</v>
      </c>
      <c r="H103" s="295">
        <v>26</v>
      </c>
      <c r="I103" s="295" t="s">
        <v>89</v>
      </c>
      <c r="J103" s="80">
        <v>7.68</v>
      </c>
      <c r="K103" s="80">
        <v>15.7</v>
      </c>
      <c r="L103" s="296">
        <v>0.25</v>
      </c>
      <c r="M103" s="80">
        <v>56.8</v>
      </c>
      <c r="N103" s="391">
        <v>5</v>
      </c>
      <c r="O103" s="392">
        <f t="shared" si="90"/>
        <v>1</v>
      </c>
      <c r="P103" s="4">
        <v>50</v>
      </c>
      <c r="Q103" s="6">
        <v>1.5</v>
      </c>
      <c r="R103" s="4">
        <v>4</v>
      </c>
      <c r="S103" s="140">
        <v>4</v>
      </c>
      <c r="T103" s="4">
        <v>115</v>
      </c>
      <c r="U103" s="141">
        <v>117</v>
      </c>
      <c r="V103" s="140">
        <v>27.5</v>
      </c>
      <c r="W103" s="142">
        <f t="shared" si="91"/>
        <v>82.5</v>
      </c>
      <c r="X103" s="440">
        <f t="shared" si="92"/>
        <v>384</v>
      </c>
      <c r="Y103" s="441">
        <f t="shared" si="93"/>
        <v>1.3689839572192513</v>
      </c>
      <c r="Z103" s="442">
        <f t="shared" si="94"/>
        <v>321.5666310160428</v>
      </c>
      <c r="AA103" s="162">
        <f t="shared" si="95"/>
        <v>0.9</v>
      </c>
      <c r="AB103" s="51">
        <f t="shared" si="96"/>
        <v>105.975</v>
      </c>
      <c r="AC103" s="6">
        <v>17.2</v>
      </c>
      <c r="AD103" s="143">
        <f t="shared" si="97"/>
        <v>44.651162790697676</v>
      </c>
      <c r="AE103" s="4">
        <v>30</v>
      </c>
      <c r="AF103" s="4">
        <v>1.6</v>
      </c>
      <c r="AG103" s="141">
        <v>29</v>
      </c>
      <c r="AH103" s="141">
        <v>520</v>
      </c>
      <c r="AI103" s="144">
        <f t="shared" si="98"/>
        <v>1136.85</v>
      </c>
      <c r="AJ103" s="141">
        <v>115</v>
      </c>
      <c r="AK103" s="23">
        <f t="shared" si="99"/>
        <v>0.8977502756312957</v>
      </c>
      <c r="AL103" s="143">
        <f t="shared" si="100"/>
        <v>1006.6024965515903</v>
      </c>
      <c r="AM103" s="143">
        <f t="shared" si="101"/>
        <v>2974.7839944825446</v>
      </c>
      <c r="AN103" s="290">
        <f t="shared" si="102"/>
        <v>1591.5899999999997</v>
      </c>
      <c r="AO103" s="23">
        <f t="shared" si="103"/>
        <v>281.210049478428</v>
      </c>
      <c r="AP103" s="86">
        <f t="shared" si="104"/>
        <v>40.903279924134985</v>
      </c>
      <c r="AQ103" s="443" t="str">
        <f t="shared" si="105"/>
        <v>OK</v>
      </c>
      <c r="AR103" s="444">
        <f t="shared" si="106"/>
        <v>324.35</v>
      </c>
      <c r="AS103" s="145">
        <f t="shared" si="107"/>
        <v>27.02916666666667</v>
      </c>
      <c r="AT103" s="143">
        <f t="shared" si="108"/>
        <v>1121.25</v>
      </c>
      <c r="AU103" s="143">
        <f t="shared" si="109"/>
        <v>93.4375</v>
      </c>
      <c r="AV103" s="141">
        <v>301</v>
      </c>
      <c r="AW103" s="445">
        <f t="shared" si="110"/>
        <v>30.6612109375</v>
      </c>
      <c r="AX103" s="446"/>
      <c r="AY103" s="447">
        <v>0</v>
      </c>
      <c r="AZ103" s="448">
        <f t="shared" si="111"/>
        <v>3.3155080213903743</v>
      </c>
      <c r="BA103" s="7">
        <v>780</v>
      </c>
      <c r="BB103" s="449">
        <f t="shared" si="112"/>
        <v>0.47814839487537947</v>
      </c>
      <c r="BC103" s="445">
        <f t="shared" si="113"/>
        <v>0.6378567399649785</v>
      </c>
      <c r="BD103" s="102">
        <f t="shared" si="114"/>
        <v>0.8250000000000001</v>
      </c>
      <c r="BE103" s="450" t="str">
        <f t="shared" si="115"/>
        <v>OK</v>
      </c>
      <c r="BF103" s="450" t="str">
        <f t="shared" si="116"/>
        <v>OK</v>
      </c>
    </row>
    <row r="104" spans="2:58" ht="11.25">
      <c r="B104" s="119">
        <v>1</v>
      </c>
      <c r="C104" s="508">
        <f t="shared" si="89"/>
        <v>0.715</v>
      </c>
      <c r="D104" s="54"/>
      <c r="E104" s="451" t="s">
        <v>234</v>
      </c>
      <c r="F104" s="79" t="s">
        <v>205</v>
      </c>
      <c r="G104" s="249" t="s">
        <v>170</v>
      </c>
      <c r="H104" s="258">
        <v>26</v>
      </c>
      <c r="I104" s="258" t="s">
        <v>89</v>
      </c>
      <c r="J104" s="80">
        <v>7.68</v>
      </c>
      <c r="K104" s="80">
        <v>15.7</v>
      </c>
      <c r="L104" s="296">
        <v>0.25</v>
      </c>
      <c r="M104" s="29">
        <v>56.8</v>
      </c>
      <c r="N104" s="155">
        <v>5</v>
      </c>
      <c r="O104" s="157">
        <f t="shared" si="90"/>
        <v>1</v>
      </c>
      <c r="P104" s="34">
        <v>50</v>
      </c>
      <c r="Q104" s="33">
        <v>1.5</v>
      </c>
      <c r="R104" s="34">
        <v>4</v>
      </c>
      <c r="S104" s="29">
        <v>4</v>
      </c>
      <c r="T104" s="34">
        <v>115</v>
      </c>
      <c r="U104" s="31">
        <v>117</v>
      </c>
      <c r="V104" s="29">
        <v>27.5</v>
      </c>
      <c r="W104" s="30">
        <f t="shared" si="91"/>
        <v>82.5</v>
      </c>
      <c r="X104" s="146">
        <f t="shared" si="92"/>
        <v>384</v>
      </c>
      <c r="Y104" s="147">
        <f t="shared" si="93"/>
        <v>1.3689839572192513</v>
      </c>
      <c r="Z104" s="294">
        <f t="shared" si="94"/>
        <v>321.5666310160428</v>
      </c>
      <c r="AA104" s="131">
        <f t="shared" si="95"/>
        <v>0.9</v>
      </c>
      <c r="AB104" s="128">
        <f t="shared" si="96"/>
        <v>105.975</v>
      </c>
      <c r="AC104" s="33">
        <v>17.2</v>
      </c>
      <c r="AD104" s="52">
        <f t="shared" si="97"/>
        <v>44.651162790697676</v>
      </c>
      <c r="AE104" s="34">
        <v>30</v>
      </c>
      <c r="AF104" s="34">
        <v>1.6</v>
      </c>
      <c r="AG104" s="31">
        <v>29</v>
      </c>
      <c r="AH104" s="31">
        <v>520</v>
      </c>
      <c r="AI104" s="112">
        <f t="shared" si="98"/>
        <v>1136.85</v>
      </c>
      <c r="AJ104" s="31">
        <v>115</v>
      </c>
      <c r="AK104" s="30">
        <f t="shared" si="99"/>
        <v>0.8977502756312957</v>
      </c>
      <c r="AL104" s="52">
        <f t="shared" si="100"/>
        <v>1006.6024965515903</v>
      </c>
      <c r="AM104" s="52">
        <f t="shared" si="101"/>
        <v>2974.7839944825446</v>
      </c>
      <c r="AN104" s="85">
        <f t="shared" si="102"/>
        <v>1591.5899999999997</v>
      </c>
      <c r="AO104" s="30">
        <f t="shared" si="103"/>
        <v>281.210049478428</v>
      </c>
      <c r="AP104" s="128">
        <f t="shared" si="104"/>
        <v>40.903279924134985</v>
      </c>
      <c r="AQ104" s="293" t="str">
        <f t="shared" si="105"/>
        <v>OK</v>
      </c>
      <c r="AR104" s="120">
        <f t="shared" si="106"/>
        <v>324.35</v>
      </c>
      <c r="AS104" s="255">
        <f t="shared" si="107"/>
        <v>27.02916666666667</v>
      </c>
      <c r="AT104" s="52">
        <f t="shared" si="108"/>
        <v>1121.25</v>
      </c>
      <c r="AU104" s="52">
        <f t="shared" si="109"/>
        <v>93.4375</v>
      </c>
      <c r="AV104" s="31">
        <v>301</v>
      </c>
      <c r="AW104" s="63">
        <f t="shared" si="110"/>
        <v>30.6612109375</v>
      </c>
      <c r="AX104" s="119"/>
      <c r="AY104" s="125">
        <v>0</v>
      </c>
      <c r="AZ104" s="256">
        <f t="shared" si="111"/>
        <v>3.3155080213903743</v>
      </c>
      <c r="BA104" s="67">
        <v>780</v>
      </c>
      <c r="BB104" s="257">
        <f t="shared" si="112"/>
        <v>0.47814839487537947</v>
      </c>
      <c r="BC104" s="63">
        <f t="shared" si="113"/>
        <v>0.6378567399649785</v>
      </c>
      <c r="BD104" s="130">
        <f t="shared" si="114"/>
        <v>0.8250000000000001</v>
      </c>
      <c r="BE104" s="91" t="str">
        <f t="shared" si="115"/>
        <v>OK</v>
      </c>
      <c r="BF104" s="91" t="str">
        <f t="shared" si="116"/>
        <v>OK</v>
      </c>
    </row>
    <row r="105" spans="2:58" ht="11.25">
      <c r="B105" s="119">
        <v>1</v>
      </c>
      <c r="C105" s="508">
        <f t="shared" si="89"/>
        <v>0.715</v>
      </c>
      <c r="D105" s="54"/>
      <c r="E105" s="357" t="s">
        <v>206</v>
      </c>
      <c r="F105" s="79" t="s">
        <v>235</v>
      </c>
      <c r="G105" s="458" t="s">
        <v>170</v>
      </c>
      <c r="H105" s="295">
        <v>26</v>
      </c>
      <c r="I105" s="295" t="s">
        <v>89</v>
      </c>
      <c r="J105" s="80">
        <v>7.68</v>
      </c>
      <c r="K105" s="80">
        <v>15.7</v>
      </c>
      <c r="L105" s="296">
        <v>0.25</v>
      </c>
      <c r="M105" s="80">
        <v>56.8</v>
      </c>
      <c r="N105" s="391">
        <v>5</v>
      </c>
      <c r="O105" s="157">
        <f t="shared" si="90"/>
        <v>1</v>
      </c>
      <c r="P105" s="34">
        <v>50</v>
      </c>
      <c r="Q105" s="33">
        <v>1.5</v>
      </c>
      <c r="R105" s="34">
        <v>4</v>
      </c>
      <c r="S105" s="29">
        <v>4</v>
      </c>
      <c r="T105" s="34">
        <v>115</v>
      </c>
      <c r="U105" s="31">
        <v>117</v>
      </c>
      <c r="V105" s="29">
        <v>27.5</v>
      </c>
      <c r="W105" s="30">
        <f t="shared" si="91"/>
        <v>82.5</v>
      </c>
      <c r="X105" s="146">
        <f t="shared" si="92"/>
        <v>384</v>
      </c>
      <c r="Y105" s="147">
        <f t="shared" si="93"/>
        <v>1.3689839572192513</v>
      </c>
      <c r="Z105" s="294">
        <f t="shared" si="94"/>
        <v>321.5666310160428</v>
      </c>
      <c r="AA105" s="131">
        <f t="shared" si="95"/>
        <v>0.9</v>
      </c>
      <c r="AB105" s="128">
        <f t="shared" si="96"/>
        <v>105.975</v>
      </c>
      <c r="AC105" s="33">
        <v>17.2</v>
      </c>
      <c r="AD105" s="52">
        <f t="shared" si="97"/>
        <v>44.651162790697676</v>
      </c>
      <c r="AE105" s="34">
        <v>30</v>
      </c>
      <c r="AF105" s="34">
        <v>1.6</v>
      </c>
      <c r="AG105" s="31">
        <v>29</v>
      </c>
      <c r="AH105" s="31">
        <v>520</v>
      </c>
      <c r="AI105" s="112">
        <f t="shared" si="98"/>
        <v>1136.85</v>
      </c>
      <c r="AJ105" s="31">
        <v>115</v>
      </c>
      <c r="AK105" s="30">
        <f t="shared" si="99"/>
        <v>0.8977502756312957</v>
      </c>
      <c r="AL105" s="52">
        <f t="shared" si="100"/>
        <v>1006.6024965515903</v>
      </c>
      <c r="AM105" s="52">
        <f t="shared" si="101"/>
        <v>2974.7839944825446</v>
      </c>
      <c r="AN105" s="85">
        <f t="shared" si="102"/>
        <v>1591.5899999999997</v>
      </c>
      <c r="AO105" s="30">
        <f t="shared" si="103"/>
        <v>281.210049478428</v>
      </c>
      <c r="AP105" s="128">
        <f t="shared" si="104"/>
        <v>40.903279924134985</v>
      </c>
      <c r="AQ105" s="293" t="str">
        <f t="shared" si="105"/>
        <v>OK</v>
      </c>
      <c r="AR105" s="120">
        <f t="shared" si="106"/>
        <v>324.35</v>
      </c>
      <c r="AS105" s="255">
        <f t="shared" si="107"/>
        <v>27.02916666666667</v>
      </c>
      <c r="AT105" s="52">
        <f t="shared" si="108"/>
        <v>1121.25</v>
      </c>
      <c r="AU105" s="52">
        <f t="shared" si="109"/>
        <v>93.4375</v>
      </c>
      <c r="AV105" s="31">
        <v>301</v>
      </c>
      <c r="AW105" s="63">
        <f t="shared" si="110"/>
        <v>30.6612109375</v>
      </c>
      <c r="AX105" s="119"/>
      <c r="AY105" s="125">
        <v>0</v>
      </c>
      <c r="AZ105" s="256">
        <f t="shared" si="111"/>
        <v>3.3155080213903743</v>
      </c>
      <c r="BA105" s="67">
        <v>780</v>
      </c>
      <c r="BB105" s="257">
        <f t="shared" si="112"/>
        <v>0.47814839487537947</v>
      </c>
      <c r="BC105" s="63">
        <f t="shared" si="113"/>
        <v>0.6378567399649785</v>
      </c>
      <c r="BD105" s="130">
        <f t="shared" si="114"/>
        <v>0.8250000000000001</v>
      </c>
      <c r="BE105" s="91" t="str">
        <f t="shared" si="115"/>
        <v>OK</v>
      </c>
      <c r="BF105" s="91" t="str">
        <f t="shared" si="116"/>
        <v>OK</v>
      </c>
    </row>
    <row r="106" spans="2:59" ht="12" thickBot="1">
      <c r="B106" s="165">
        <v>1</v>
      </c>
      <c r="C106" s="506">
        <f t="shared" si="89"/>
        <v>0.715</v>
      </c>
      <c r="D106" s="54"/>
      <c r="E106" s="393" t="s">
        <v>235</v>
      </c>
      <c r="F106" s="459" t="s">
        <v>207</v>
      </c>
      <c r="G106" s="115" t="s">
        <v>170</v>
      </c>
      <c r="H106" s="153">
        <v>26</v>
      </c>
      <c r="I106" s="153" t="s">
        <v>89</v>
      </c>
      <c r="J106" s="100">
        <v>7.68</v>
      </c>
      <c r="K106" s="100">
        <v>15.7</v>
      </c>
      <c r="L106" s="116">
        <v>0.25</v>
      </c>
      <c r="M106" s="100">
        <v>56.8</v>
      </c>
      <c r="N106" s="156">
        <v>5</v>
      </c>
      <c r="O106" s="158">
        <f t="shared" si="90"/>
        <v>1</v>
      </c>
      <c r="P106" s="286">
        <v>50</v>
      </c>
      <c r="Q106" s="36">
        <v>1.5</v>
      </c>
      <c r="R106" s="286">
        <v>4</v>
      </c>
      <c r="S106" s="306">
        <v>4</v>
      </c>
      <c r="T106" s="286">
        <v>115</v>
      </c>
      <c r="U106" s="35">
        <v>117</v>
      </c>
      <c r="V106" s="306">
        <v>27.5</v>
      </c>
      <c r="W106" s="148">
        <f t="shared" si="91"/>
        <v>82.5</v>
      </c>
      <c r="X106" s="149">
        <f t="shared" si="92"/>
        <v>384</v>
      </c>
      <c r="Y106" s="150">
        <f t="shared" si="93"/>
        <v>1.3689839572192513</v>
      </c>
      <c r="Z106" s="374">
        <f t="shared" si="94"/>
        <v>321.5666310160428</v>
      </c>
      <c r="AA106" s="164">
        <f t="shared" si="95"/>
        <v>0.9</v>
      </c>
      <c r="AB106" s="308">
        <f t="shared" si="96"/>
        <v>105.975</v>
      </c>
      <c r="AC106" s="36">
        <v>17.2</v>
      </c>
      <c r="AD106" s="376">
        <f t="shared" si="97"/>
        <v>44.651162790697676</v>
      </c>
      <c r="AE106" s="286">
        <v>30</v>
      </c>
      <c r="AF106" s="286">
        <v>1.6</v>
      </c>
      <c r="AG106" s="35">
        <v>29</v>
      </c>
      <c r="AH106" s="35">
        <v>520</v>
      </c>
      <c r="AI106" s="377">
        <f t="shared" si="98"/>
        <v>1136.85</v>
      </c>
      <c r="AJ106" s="35">
        <v>115</v>
      </c>
      <c r="AK106" s="124">
        <f t="shared" si="99"/>
        <v>0.8977502756312957</v>
      </c>
      <c r="AL106" s="376">
        <f t="shared" si="100"/>
        <v>1006.6024965515903</v>
      </c>
      <c r="AM106" s="376">
        <f t="shared" si="101"/>
        <v>2974.7839944825446</v>
      </c>
      <c r="AN106" s="106">
        <f t="shared" si="102"/>
        <v>1591.5899999999997</v>
      </c>
      <c r="AO106" s="107">
        <f t="shared" si="103"/>
        <v>281.210049478428</v>
      </c>
      <c r="AP106" s="129">
        <f t="shared" si="104"/>
        <v>40.903279924134985</v>
      </c>
      <c r="AQ106" s="311" t="str">
        <f t="shared" si="105"/>
        <v>OK</v>
      </c>
      <c r="AR106" s="378">
        <f t="shared" si="106"/>
        <v>324.35</v>
      </c>
      <c r="AS106" s="379">
        <f t="shared" si="107"/>
        <v>27.02916666666667</v>
      </c>
      <c r="AT106" s="376">
        <f t="shared" si="108"/>
        <v>1121.25</v>
      </c>
      <c r="AU106" s="376">
        <f t="shared" si="109"/>
        <v>93.4375</v>
      </c>
      <c r="AV106" s="35">
        <v>301</v>
      </c>
      <c r="AW106" s="380">
        <f t="shared" si="110"/>
        <v>30.6612109375</v>
      </c>
      <c r="AX106" s="381"/>
      <c r="AY106" s="382">
        <v>0</v>
      </c>
      <c r="AZ106" s="383">
        <f t="shared" si="111"/>
        <v>3.3155080213903743</v>
      </c>
      <c r="BA106" s="368">
        <v>780</v>
      </c>
      <c r="BB106" s="310">
        <f t="shared" si="112"/>
        <v>0.47814839487537947</v>
      </c>
      <c r="BC106" s="380">
        <f t="shared" si="113"/>
        <v>0.6378567399649785</v>
      </c>
      <c r="BD106" s="113">
        <f t="shared" si="114"/>
        <v>0.8250000000000001</v>
      </c>
      <c r="BE106" s="385" t="str">
        <f t="shared" si="115"/>
        <v>OK</v>
      </c>
      <c r="BF106" s="311" t="str">
        <f t="shared" si="116"/>
        <v>OK</v>
      </c>
      <c r="BG106" s="460"/>
    </row>
    <row r="107" spans="2:58" ht="11.25">
      <c r="B107" s="254">
        <v>1</v>
      </c>
      <c r="C107" s="505">
        <f t="shared" si="89"/>
        <v>0.21</v>
      </c>
      <c r="D107" s="54"/>
      <c r="E107" s="371" t="s">
        <v>253</v>
      </c>
      <c r="F107" s="421" t="s">
        <v>254</v>
      </c>
      <c r="G107" s="123" t="s">
        <v>73</v>
      </c>
      <c r="H107" s="287">
        <v>12</v>
      </c>
      <c r="I107" s="271"/>
      <c r="J107" s="22">
        <v>3.54</v>
      </c>
      <c r="K107" s="22">
        <v>9.87</v>
      </c>
      <c r="L107" s="25">
        <v>0.19</v>
      </c>
      <c r="M107" s="25"/>
      <c r="N107" s="25"/>
      <c r="O107" s="372" t="str">
        <f t="shared" si="90"/>
        <v>NO</v>
      </c>
      <c r="P107" s="4">
        <v>50</v>
      </c>
      <c r="Q107" s="6">
        <v>1.5</v>
      </c>
      <c r="R107" s="4">
        <v>4</v>
      </c>
      <c r="S107" s="140">
        <v>4</v>
      </c>
      <c r="T107" s="4">
        <v>115</v>
      </c>
      <c r="U107" s="141">
        <v>75</v>
      </c>
      <c r="V107" s="140">
        <v>17.5</v>
      </c>
      <c r="W107" s="142">
        <f t="shared" si="91"/>
        <v>52.5</v>
      </c>
      <c r="X107" s="440">
        <f t="shared" si="92"/>
        <v>177</v>
      </c>
      <c r="Y107" s="441">
        <f t="shared" si="93"/>
        <v>0.9915966386554622</v>
      </c>
      <c r="Z107" s="442">
        <f t="shared" si="94"/>
        <v>112.03040231092437</v>
      </c>
      <c r="AA107" s="162">
        <f t="shared" si="95"/>
        <v>1</v>
      </c>
      <c r="AB107" s="51">
        <f t="shared" si="96"/>
        <v>56.25899999999999</v>
      </c>
      <c r="AC107" s="6">
        <v>17.2</v>
      </c>
      <c r="AD107" s="143">
        <f t="shared" si="97"/>
        <v>20.58139534883721</v>
      </c>
      <c r="AE107" s="4">
        <v>30</v>
      </c>
      <c r="AF107" s="4">
        <v>1.6</v>
      </c>
      <c r="AG107" s="141">
        <v>29</v>
      </c>
      <c r="AH107" s="141">
        <v>156</v>
      </c>
      <c r="AI107" s="144">
        <f t="shared" si="98"/>
        <v>546.75</v>
      </c>
      <c r="AJ107" s="141">
        <v>115</v>
      </c>
      <c r="AK107" s="23">
        <f t="shared" si="99"/>
        <v>1</v>
      </c>
      <c r="AL107" s="143">
        <f t="shared" si="100"/>
        <v>718.75</v>
      </c>
      <c r="AM107" s="143">
        <f t="shared" si="101"/>
        <v>1806.1</v>
      </c>
      <c r="AN107" s="290">
        <f t="shared" si="102"/>
        <v>765.4499999999999</v>
      </c>
      <c r="AO107" s="23">
        <f t="shared" si="103"/>
        <v>69.139765625</v>
      </c>
      <c r="AP107" s="128">
        <f t="shared" si="104"/>
        <v>15.803375</v>
      </c>
      <c r="AQ107" s="443" t="str">
        <f t="shared" si="105"/>
        <v>OK</v>
      </c>
      <c r="AR107" s="444">
        <f t="shared" si="106"/>
        <v>203.25</v>
      </c>
      <c r="AS107" s="145">
        <f t="shared" si="107"/>
        <v>16.9375</v>
      </c>
      <c r="AT107" s="143">
        <f t="shared" si="108"/>
        <v>718.75</v>
      </c>
      <c r="AU107" s="143">
        <f t="shared" si="109"/>
        <v>59.895833333333336</v>
      </c>
      <c r="AV107" s="141">
        <v>53.8</v>
      </c>
      <c r="AW107" s="445">
        <f t="shared" si="110"/>
        <v>7.7806640625</v>
      </c>
      <c r="AX107" s="446"/>
      <c r="AY107" s="447">
        <v>0</v>
      </c>
      <c r="AZ107" s="448">
        <f t="shared" si="111"/>
        <v>3.504201680672269</v>
      </c>
      <c r="BA107" s="7">
        <v>180</v>
      </c>
      <c r="BB107" s="449">
        <f t="shared" si="112"/>
        <v>0.2749064904789851</v>
      </c>
      <c r="BC107" s="445">
        <f t="shared" si="113"/>
        <v>0.29056417530980605</v>
      </c>
      <c r="BD107" s="102">
        <f t="shared" si="114"/>
        <v>0.5249999999999999</v>
      </c>
      <c r="BE107" s="450" t="str">
        <f t="shared" si="115"/>
        <v>OK</v>
      </c>
      <c r="BF107" s="450" t="str">
        <f t="shared" si="116"/>
        <v>OK</v>
      </c>
    </row>
    <row r="108" spans="2:58" ht="11.25">
      <c r="B108" s="119">
        <v>1</v>
      </c>
      <c r="C108" s="508">
        <f t="shared" si="89"/>
        <v>0.21</v>
      </c>
      <c r="D108" s="54"/>
      <c r="E108" s="451" t="s">
        <v>251</v>
      </c>
      <c r="F108" s="79" t="s">
        <v>252</v>
      </c>
      <c r="G108" s="249" t="s">
        <v>73</v>
      </c>
      <c r="H108" s="258">
        <v>12</v>
      </c>
      <c r="I108" s="272"/>
      <c r="J108" s="29">
        <v>3.54</v>
      </c>
      <c r="K108" s="29">
        <v>9.87</v>
      </c>
      <c r="L108" s="32">
        <v>0.19</v>
      </c>
      <c r="M108" s="32"/>
      <c r="N108" s="32"/>
      <c r="O108" s="157" t="str">
        <f t="shared" si="90"/>
        <v>NO</v>
      </c>
      <c r="P108" s="34">
        <v>50</v>
      </c>
      <c r="Q108" s="33">
        <v>1.5</v>
      </c>
      <c r="R108" s="34">
        <v>4</v>
      </c>
      <c r="S108" s="29">
        <v>4</v>
      </c>
      <c r="T108" s="34">
        <v>115</v>
      </c>
      <c r="U108" s="31">
        <v>75</v>
      </c>
      <c r="V108" s="29">
        <v>17.5</v>
      </c>
      <c r="W108" s="30">
        <f t="shared" si="91"/>
        <v>52.5</v>
      </c>
      <c r="X108" s="146">
        <f t="shared" si="92"/>
        <v>177</v>
      </c>
      <c r="Y108" s="147">
        <f t="shared" si="93"/>
        <v>0.9915966386554622</v>
      </c>
      <c r="Z108" s="294">
        <f t="shared" si="94"/>
        <v>112.03040231092437</v>
      </c>
      <c r="AA108" s="131">
        <f t="shared" si="95"/>
        <v>1</v>
      </c>
      <c r="AB108" s="128">
        <f t="shared" si="96"/>
        <v>56.25899999999999</v>
      </c>
      <c r="AC108" s="33">
        <v>17.2</v>
      </c>
      <c r="AD108" s="52">
        <f t="shared" si="97"/>
        <v>20.58139534883721</v>
      </c>
      <c r="AE108" s="34">
        <v>30</v>
      </c>
      <c r="AF108" s="34">
        <v>1.6</v>
      </c>
      <c r="AG108" s="31">
        <v>29</v>
      </c>
      <c r="AH108" s="31">
        <v>156</v>
      </c>
      <c r="AI108" s="112">
        <f t="shared" si="98"/>
        <v>546.75</v>
      </c>
      <c r="AJ108" s="31">
        <v>115</v>
      </c>
      <c r="AK108" s="30">
        <f t="shared" si="99"/>
        <v>1</v>
      </c>
      <c r="AL108" s="52">
        <f t="shared" si="100"/>
        <v>718.75</v>
      </c>
      <c r="AM108" s="52">
        <f t="shared" si="101"/>
        <v>1806.1</v>
      </c>
      <c r="AN108" s="85">
        <f t="shared" si="102"/>
        <v>765.4499999999999</v>
      </c>
      <c r="AO108" s="30">
        <f t="shared" si="103"/>
        <v>69.139765625</v>
      </c>
      <c r="AP108" s="128">
        <f t="shared" si="104"/>
        <v>15.803375</v>
      </c>
      <c r="AQ108" s="293" t="str">
        <f t="shared" si="105"/>
        <v>OK</v>
      </c>
      <c r="AR108" s="120">
        <f t="shared" si="106"/>
        <v>203.25</v>
      </c>
      <c r="AS108" s="255">
        <f t="shared" si="107"/>
        <v>16.9375</v>
      </c>
      <c r="AT108" s="52">
        <f t="shared" si="108"/>
        <v>718.75</v>
      </c>
      <c r="AU108" s="52">
        <f t="shared" si="109"/>
        <v>59.895833333333336</v>
      </c>
      <c r="AV108" s="31">
        <v>53.8</v>
      </c>
      <c r="AW108" s="63">
        <f t="shared" si="110"/>
        <v>7.7806640625</v>
      </c>
      <c r="AX108" s="119"/>
      <c r="AY108" s="125">
        <v>0</v>
      </c>
      <c r="AZ108" s="256">
        <f t="shared" si="111"/>
        <v>3.504201680672269</v>
      </c>
      <c r="BA108" s="67">
        <v>180</v>
      </c>
      <c r="BB108" s="257">
        <f t="shared" si="112"/>
        <v>0.2749064904789851</v>
      </c>
      <c r="BC108" s="63">
        <f t="shared" si="113"/>
        <v>0.29056417530980605</v>
      </c>
      <c r="BD108" s="130">
        <f t="shared" si="114"/>
        <v>0.5249999999999999</v>
      </c>
      <c r="BE108" s="91" t="str">
        <f t="shared" si="115"/>
        <v>OK</v>
      </c>
      <c r="BF108" s="91" t="str">
        <f t="shared" si="116"/>
        <v>OK</v>
      </c>
    </row>
    <row r="109" spans="2:58" ht="11.25">
      <c r="B109" s="119">
        <v>1</v>
      </c>
      <c r="C109" s="508">
        <f t="shared" si="89"/>
        <v>0.21</v>
      </c>
      <c r="D109" s="54"/>
      <c r="E109" s="357" t="s">
        <v>249</v>
      </c>
      <c r="F109" s="79" t="s">
        <v>250</v>
      </c>
      <c r="G109" s="249" t="s">
        <v>73</v>
      </c>
      <c r="H109" s="258">
        <v>12</v>
      </c>
      <c r="I109" s="272"/>
      <c r="J109" s="29">
        <v>3.54</v>
      </c>
      <c r="K109" s="29">
        <v>9.87</v>
      </c>
      <c r="L109" s="32">
        <v>0.19</v>
      </c>
      <c r="M109" s="32"/>
      <c r="N109" s="32"/>
      <c r="O109" s="157" t="str">
        <f t="shared" si="90"/>
        <v>NO</v>
      </c>
      <c r="P109" s="34">
        <v>50</v>
      </c>
      <c r="Q109" s="33">
        <v>1.5</v>
      </c>
      <c r="R109" s="34">
        <v>4</v>
      </c>
      <c r="S109" s="29">
        <v>4</v>
      </c>
      <c r="T109" s="34">
        <v>115</v>
      </c>
      <c r="U109" s="31">
        <v>75</v>
      </c>
      <c r="V109" s="29">
        <v>17.5</v>
      </c>
      <c r="W109" s="30">
        <f t="shared" si="91"/>
        <v>52.5</v>
      </c>
      <c r="X109" s="146">
        <f t="shared" si="92"/>
        <v>177</v>
      </c>
      <c r="Y109" s="147">
        <f t="shared" si="93"/>
        <v>0.9915966386554622</v>
      </c>
      <c r="Z109" s="294">
        <f t="shared" si="94"/>
        <v>112.03040231092437</v>
      </c>
      <c r="AA109" s="131">
        <f t="shared" si="95"/>
        <v>1</v>
      </c>
      <c r="AB109" s="128">
        <f t="shared" si="96"/>
        <v>56.25899999999999</v>
      </c>
      <c r="AC109" s="33">
        <v>17.2</v>
      </c>
      <c r="AD109" s="52">
        <f t="shared" si="97"/>
        <v>20.58139534883721</v>
      </c>
      <c r="AE109" s="34">
        <v>30</v>
      </c>
      <c r="AF109" s="34">
        <v>1.6</v>
      </c>
      <c r="AG109" s="31">
        <v>29</v>
      </c>
      <c r="AH109" s="31">
        <v>156</v>
      </c>
      <c r="AI109" s="112">
        <f t="shared" si="98"/>
        <v>546.75</v>
      </c>
      <c r="AJ109" s="31">
        <v>115</v>
      </c>
      <c r="AK109" s="30">
        <f t="shared" si="99"/>
        <v>1</v>
      </c>
      <c r="AL109" s="52">
        <f t="shared" si="100"/>
        <v>718.75</v>
      </c>
      <c r="AM109" s="52">
        <f t="shared" si="101"/>
        <v>1806.1</v>
      </c>
      <c r="AN109" s="85">
        <f t="shared" si="102"/>
        <v>765.4499999999999</v>
      </c>
      <c r="AO109" s="30">
        <f t="shared" si="103"/>
        <v>69.139765625</v>
      </c>
      <c r="AP109" s="128">
        <f t="shared" si="104"/>
        <v>15.803375</v>
      </c>
      <c r="AQ109" s="293" t="str">
        <f t="shared" si="105"/>
        <v>OK</v>
      </c>
      <c r="AR109" s="120">
        <f t="shared" si="106"/>
        <v>203.25</v>
      </c>
      <c r="AS109" s="255">
        <f t="shared" si="107"/>
        <v>16.9375</v>
      </c>
      <c r="AT109" s="52">
        <f t="shared" si="108"/>
        <v>718.75</v>
      </c>
      <c r="AU109" s="52">
        <f t="shared" si="109"/>
        <v>59.895833333333336</v>
      </c>
      <c r="AV109" s="31">
        <v>53.8</v>
      </c>
      <c r="AW109" s="63">
        <f t="shared" si="110"/>
        <v>7.7806640625</v>
      </c>
      <c r="AX109" s="119"/>
      <c r="AY109" s="125">
        <v>0</v>
      </c>
      <c r="AZ109" s="256">
        <f t="shared" si="111"/>
        <v>3.504201680672269</v>
      </c>
      <c r="BA109" s="67">
        <v>180</v>
      </c>
      <c r="BB109" s="257">
        <f t="shared" si="112"/>
        <v>0.2749064904789851</v>
      </c>
      <c r="BC109" s="63">
        <f t="shared" si="113"/>
        <v>0.29056417530980605</v>
      </c>
      <c r="BD109" s="130">
        <f t="shared" si="114"/>
        <v>0.5249999999999999</v>
      </c>
      <c r="BE109" s="91" t="str">
        <f t="shared" si="115"/>
        <v>OK</v>
      </c>
      <c r="BF109" s="91" t="str">
        <f t="shared" si="116"/>
        <v>OK</v>
      </c>
    </row>
    <row r="110" spans="2:59" ht="12" thickBot="1">
      <c r="B110" s="165">
        <v>1</v>
      </c>
      <c r="C110" s="506">
        <f t="shared" si="89"/>
        <v>0.21</v>
      </c>
      <c r="D110" s="54"/>
      <c r="E110" s="393" t="s">
        <v>247</v>
      </c>
      <c r="F110" s="459" t="s">
        <v>248</v>
      </c>
      <c r="G110" s="115" t="s">
        <v>73</v>
      </c>
      <c r="H110" s="153">
        <v>12</v>
      </c>
      <c r="I110" s="273"/>
      <c r="J110" s="100">
        <v>3.54</v>
      </c>
      <c r="K110" s="100">
        <v>9.87</v>
      </c>
      <c r="L110" s="116">
        <v>0.19</v>
      </c>
      <c r="M110" s="116"/>
      <c r="N110" s="116"/>
      <c r="O110" s="158" t="str">
        <f t="shared" si="90"/>
        <v>NO</v>
      </c>
      <c r="P110" s="109">
        <v>50</v>
      </c>
      <c r="Q110" s="95">
        <v>1.5</v>
      </c>
      <c r="R110" s="109">
        <v>4</v>
      </c>
      <c r="S110" s="100">
        <v>4</v>
      </c>
      <c r="T110" s="109">
        <v>115</v>
      </c>
      <c r="U110" s="108">
        <v>75</v>
      </c>
      <c r="V110" s="100">
        <v>17.5</v>
      </c>
      <c r="W110" s="107">
        <f t="shared" si="91"/>
        <v>52.5</v>
      </c>
      <c r="X110" s="105">
        <f t="shared" si="92"/>
        <v>177</v>
      </c>
      <c r="Y110" s="117">
        <f t="shared" si="93"/>
        <v>0.9915966386554622</v>
      </c>
      <c r="Z110" s="315">
        <f t="shared" si="94"/>
        <v>112.03040231092437</v>
      </c>
      <c r="AA110" s="164">
        <f t="shared" si="95"/>
        <v>1</v>
      </c>
      <c r="AB110" s="463">
        <f t="shared" si="96"/>
        <v>56.25899999999999</v>
      </c>
      <c r="AC110" s="95">
        <v>17.2</v>
      </c>
      <c r="AD110" s="106">
        <f t="shared" si="97"/>
        <v>20.58139534883721</v>
      </c>
      <c r="AE110" s="109">
        <v>30</v>
      </c>
      <c r="AF110" s="109">
        <v>1.6</v>
      </c>
      <c r="AG110" s="108">
        <v>29</v>
      </c>
      <c r="AH110" s="108">
        <v>156</v>
      </c>
      <c r="AI110" s="133">
        <f t="shared" si="98"/>
        <v>546.75</v>
      </c>
      <c r="AJ110" s="108">
        <v>115</v>
      </c>
      <c r="AK110" s="107">
        <f t="shared" si="99"/>
        <v>1</v>
      </c>
      <c r="AL110" s="106">
        <f t="shared" si="100"/>
        <v>718.75</v>
      </c>
      <c r="AM110" s="106">
        <f t="shared" si="101"/>
        <v>1806.1</v>
      </c>
      <c r="AN110" s="106">
        <f t="shared" si="102"/>
        <v>765.4499999999999</v>
      </c>
      <c r="AO110" s="107">
        <f t="shared" si="103"/>
        <v>69.139765625</v>
      </c>
      <c r="AP110" s="129">
        <f t="shared" si="104"/>
        <v>15.803375</v>
      </c>
      <c r="AQ110" s="316" t="str">
        <f t="shared" si="105"/>
        <v>OK</v>
      </c>
      <c r="AR110" s="104">
        <f t="shared" si="106"/>
        <v>203.25</v>
      </c>
      <c r="AS110" s="312">
        <f t="shared" si="107"/>
        <v>16.9375</v>
      </c>
      <c r="AT110" s="106">
        <f t="shared" si="108"/>
        <v>718.75</v>
      </c>
      <c r="AU110" s="106">
        <f t="shared" si="109"/>
        <v>59.895833333333336</v>
      </c>
      <c r="AV110" s="108">
        <v>53.8</v>
      </c>
      <c r="AW110" s="111">
        <f t="shared" si="110"/>
        <v>7.7806640625</v>
      </c>
      <c r="AX110" s="165"/>
      <c r="AY110" s="127">
        <v>0</v>
      </c>
      <c r="AZ110" s="313">
        <f t="shared" si="111"/>
        <v>3.504201680672269</v>
      </c>
      <c r="BA110" s="110">
        <v>180</v>
      </c>
      <c r="BB110" s="314">
        <f t="shared" si="112"/>
        <v>0.2749064904789851</v>
      </c>
      <c r="BC110" s="111">
        <f t="shared" si="113"/>
        <v>0.29056417530980605</v>
      </c>
      <c r="BD110" s="315">
        <f t="shared" si="114"/>
        <v>0.5249999999999999</v>
      </c>
      <c r="BE110" s="92" t="str">
        <f t="shared" si="115"/>
        <v>OK</v>
      </c>
      <c r="BF110" s="92" t="str">
        <f t="shared" si="116"/>
        <v>OK</v>
      </c>
      <c r="BG110" s="460"/>
    </row>
    <row r="112" spans="5:10" ht="11.25">
      <c r="E112" s="13"/>
      <c r="F112" s="64"/>
      <c r="H112" s="64" t="s">
        <v>111</v>
      </c>
      <c r="I112" s="64"/>
      <c r="J112" s="13"/>
    </row>
    <row r="113" spans="5:10" ht="12" thickBot="1">
      <c r="E113" s="10"/>
      <c r="F113" s="279" t="s">
        <v>121</v>
      </c>
      <c r="G113" s="279"/>
      <c r="H113" s="279"/>
      <c r="I113" s="280" t="s">
        <v>122</v>
      </c>
      <c r="J113" s="167"/>
    </row>
    <row r="114" spans="5:10" ht="12" thickTop="1">
      <c r="E114" s="8"/>
      <c r="F114" s="98" t="s">
        <v>123</v>
      </c>
      <c r="H114" s="14" t="s">
        <v>123</v>
      </c>
      <c r="I114" s="167"/>
      <c r="J114" s="167"/>
    </row>
    <row r="115" spans="5:10" ht="11.25">
      <c r="E115" s="276"/>
      <c r="G115" s="98" t="s">
        <v>21</v>
      </c>
      <c r="I115" s="269"/>
      <c r="J115" s="167"/>
    </row>
    <row r="116" spans="5:59" ht="11.25">
      <c r="E116" s="276"/>
      <c r="F116" s="8"/>
      <c r="H116" s="13"/>
      <c r="I116" s="10"/>
      <c r="J116" s="13"/>
      <c r="BF116" s="13"/>
      <c r="BG116" s="13"/>
    </row>
    <row r="117" spans="2:59" ht="12" thickBot="1">
      <c r="B117" s="36"/>
      <c r="BF117" s="13"/>
      <c r="BG117" s="13"/>
    </row>
    <row r="118" spans="1:59" ht="12" thickBot="1">
      <c r="A118" s="54"/>
      <c r="C118" s="496"/>
      <c r="D118" s="54"/>
      <c r="E118" s="121" t="s">
        <v>210</v>
      </c>
      <c r="F118" s="418" t="s">
        <v>243</v>
      </c>
      <c r="G118" s="99"/>
      <c r="H118" s="99"/>
      <c r="I118" s="99"/>
      <c r="J118" s="101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122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122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122"/>
      <c r="BE118" s="460"/>
      <c r="BF118" s="13"/>
      <c r="BG118" s="13"/>
    </row>
    <row r="119" spans="1:59" ht="11.25">
      <c r="A119" s="54"/>
      <c r="B119" s="37" t="s">
        <v>244</v>
      </c>
      <c r="C119" s="497" t="s">
        <v>56</v>
      </c>
      <c r="D119" s="54"/>
      <c r="E119" s="76" t="s">
        <v>124</v>
      </c>
      <c r="F119" s="56" t="s">
        <v>124</v>
      </c>
      <c r="G119" s="6" t="s">
        <v>58</v>
      </c>
      <c r="H119" s="6"/>
      <c r="I119" s="6"/>
      <c r="J119" s="6"/>
      <c r="K119" s="6"/>
      <c r="L119" s="3"/>
      <c r="M119" s="38" t="s">
        <v>34</v>
      </c>
      <c r="N119" s="70"/>
      <c r="O119" s="26" t="s">
        <v>61</v>
      </c>
      <c r="P119" s="50"/>
      <c r="Q119" s="5" t="s">
        <v>25</v>
      </c>
      <c r="R119" s="4"/>
      <c r="S119" s="4"/>
      <c r="T119" s="14" t="s">
        <v>49</v>
      </c>
      <c r="U119" s="7"/>
      <c r="V119" s="54"/>
      <c r="W119" s="93"/>
      <c r="X119" s="14" t="s">
        <v>17</v>
      </c>
      <c r="Y119" s="16"/>
      <c r="Z119" s="161" t="s">
        <v>126</v>
      </c>
      <c r="AA119" s="42" t="s">
        <v>126</v>
      </c>
      <c r="AB119" s="15" t="s">
        <v>126</v>
      </c>
      <c r="AC119" s="15" t="s">
        <v>126</v>
      </c>
      <c r="AD119" s="15" t="s">
        <v>126</v>
      </c>
      <c r="AE119" s="40" t="s">
        <v>126</v>
      </c>
      <c r="AF119" s="42" t="s">
        <v>127</v>
      </c>
      <c r="AG119" s="42" t="s">
        <v>127</v>
      </c>
      <c r="AH119" s="42" t="s">
        <v>127</v>
      </c>
      <c r="AI119" s="42" t="s">
        <v>127</v>
      </c>
      <c r="AJ119" s="17" t="s">
        <v>127</v>
      </c>
      <c r="AK119" s="41" t="s">
        <v>127</v>
      </c>
      <c r="AL119" s="161" t="s">
        <v>128</v>
      </c>
      <c r="AM119" s="40" t="s">
        <v>129</v>
      </c>
      <c r="AN119" s="161" t="s">
        <v>8</v>
      </c>
      <c r="AO119" s="10"/>
      <c r="AP119" s="16"/>
      <c r="AQ119" s="41" t="s">
        <v>50</v>
      </c>
      <c r="AR119" s="40" t="s">
        <v>126</v>
      </c>
      <c r="AS119" s="42" t="s">
        <v>127</v>
      </c>
      <c r="AT119" s="42" t="s">
        <v>34</v>
      </c>
      <c r="AU119" s="17" t="s">
        <v>13</v>
      </c>
      <c r="AV119" s="40" t="s">
        <v>34</v>
      </c>
      <c r="AW119" s="10"/>
      <c r="AX119" s="13"/>
      <c r="AY119" s="17" t="s">
        <v>29</v>
      </c>
      <c r="AZ119" s="42" t="s">
        <v>13</v>
      </c>
      <c r="BA119" s="17"/>
      <c r="BB119" s="54"/>
      <c r="BC119" s="58" t="s">
        <v>7</v>
      </c>
      <c r="BD119" s="44" t="s">
        <v>8</v>
      </c>
      <c r="BE119" s="460"/>
      <c r="BF119" s="13"/>
      <c r="BG119" s="13"/>
    </row>
    <row r="120" spans="2:59" ht="11.25">
      <c r="B120" s="93"/>
      <c r="C120" s="498"/>
      <c r="D120" s="54"/>
      <c r="E120" s="76"/>
      <c r="F120" s="44"/>
      <c r="G120" s="64"/>
      <c r="H120" s="64"/>
      <c r="I120" s="64"/>
      <c r="J120" s="64"/>
      <c r="K120" s="64"/>
      <c r="L120" s="69"/>
      <c r="M120" s="14" t="s">
        <v>1</v>
      </c>
      <c r="N120" s="71"/>
      <c r="O120" s="72" t="s">
        <v>62</v>
      </c>
      <c r="P120" s="72" t="s">
        <v>63</v>
      </c>
      <c r="Q120" s="12" t="s">
        <v>26</v>
      </c>
      <c r="R120" s="11"/>
      <c r="S120" s="11"/>
      <c r="U120" s="16"/>
      <c r="V120" s="41" t="s">
        <v>51</v>
      </c>
      <c r="W120" s="40" t="s">
        <v>52</v>
      </c>
      <c r="X120" s="14" t="s">
        <v>18</v>
      </c>
      <c r="Y120" s="17" t="s">
        <v>30</v>
      </c>
      <c r="Z120" s="161" t="s">
        <v>131</v>
      </c>
      <c r="AA120" s="42" t="s">
        <v>132</v>
      </c>
      <c r="AB120" s="15" t="s">
        <v>72</v>
      </c>
      <c r="AC120" s="15" t="s">
        <v>87</v>
      </c>
      <c r="AD120" s="15" t="s">
        <v>245</v>
      </c>
      <c r="AE120" s="40" t="s">
        <v>62</v>
      </c>
      <c r="AF120" s="42" t="s">
        <v>133</v>
      </c>
      <c r="AG120" s="42" t="s">
        <v>132</v>
      </c>
      <c r="AH120" s="42" t="s">
        <v>72</v>
      </c>
      <c r="AI120" s="42" t="s">
        <v>61</v>
      </c>
      <c r="AJ120" s="17" t="s">
        <v>87</v>
      </c>
      <c r="AK120" s="41" t="s">
        <v>62</v>
      </c>
      <c r="AL120" s="161" t="s">
        <v>131</v>
      </c>
      <c r="AM120" s="40" t="s">
        <v>131</v>
      </c>
      <c r="AN120" s="161" t="s">
        <v>67</v>
      </c>
      <c r="AO120" s="42" t="s">
        <v>14</v>
      </c>
      <c r="AP120" s="17" t="s">
        <v>36</v>
      </c>
      <c r="AQ120" s="44" t="s">
        <v>37</v>
      </c>
      <c r="AR120" s="40" t="s">
        <v>85</v>
      </c>
      <c r="AS120" s="42" t="s">
        <v>85</v>
      </c>
      <c r="AT120" s="15" t="s">
        <v>33</v>
      </c>
      <c r="AU120" s="41" t="s">
        <v>14</v>
      </c>
      <c r="AV120" s="41" t="s">
        <v>51</v>
      </c>
      <c r="AW120" s="15" t="s">
        <v>9</v>
      </c>
      <c r="AX120" s="14" t="s">
        <v>10</v>
      </c>
      <c r="AY120" s="17" t="s">
        <v>46</v>
      </c>
      <c r="AZ120" s="42" t="s">
        <v>41</v>
      </c>
      <c r="BA120" s="17" t="s">
        <v>42</v>
      </c>
      <c r="BB120" s="57" t="s">
        <v>134</v>
      </c>
      <c r="BC120" s="58" t="s">
        <v>39</v>
      </c>
      <c r="BD120" s="44" t="s">
        <v>39</v>
      </c>
      <c r="BE120" s="460"/>
      <c r="BF120" s="13"/>
      <c r="BG120" s="13"/>
    </row>
    <row r="121" spans="2:59" ht="11.25">
      <c r="B121" s="93"/>
      <c r="C121" s="498"/>
      <c r="D121" s="54"/>
      <c r="E121" s="76"/>
      <c r="F121" s="44"/>
      <c r="G121" s="73" t="s">
        <v>59</v>
      </c>
      <c r="H121" s="10" t="s">
        <v>56</v>
      </c>
      <c r="I121" s="15" t="s">
        <v>47</v>
      </c>
      <c r="J121" s="15" t="s">
        <v>0</v>
      </c>
      <c r="K121" s="15" t="s">
        <v>2</v>
      </c>
      <c r="L121" s="15" t="s">
        <v>3</v>
      </c>
      <c r="M121" s="14" t="s">
        <v>19</v>
      </c>
      <c r="N121" s="15" t="s">
        <v>4</v>
      </c>
      <c r="O121" s="15" t="s">
        <v>19</v>
      </c>
      <c r="P121" s="15" t="s">
        <v>56</v>
      </c>
      <c r="Q121" s="12" t="s">
        <v>16</v>
      </c>
      <c r="R121" s="15" t="s">
        <v>21</v>
      </c>
      <c r="S121" s="15" t="s">
        <v>48</v>
      </c>
      <c r="T121" s="14" t="s">
        <v>6</v>
      </c>
      <c r="U121" s="17" t="s">
        <v>5</v>
      </c>
      <c r="V121" s="41" t="s">
        <v>53</v>
      </c>
      <c r="W121" s="40" t="s">
        <v>135</v>
      </c>
      <c r="X121" s="14" t="s">
        <v>32</v>
      </c>
      <c r="Y121" s="17" t="s">
        <v>31</v>
      </c>
      <c r="Z121" s="161"/>
      <c r="AA121" s="42" t="s">
        <v>71</v>
      </c>
      <c r="AB121" s="15"/>
      <c r="AC121" s="15" t="s">
        <v>86</v>
      </c>
      <c r="AD121" s="15"/>
      <c r="AE121" s="40"/>
      <c r="AF121" s="42"/>
      <c r="AG121" s="42" t="s">
        <v>71</v>
      </c>
      <c r="AH121" s="42"/>
      <c r="AI121" s="42"/>
      <c r="AJ121" s="17" t="s">
        <v>86</v>
      </c>
      <c r="AK121" s="41"/>
      <c r="AL121" s="161"/>
      <c r="AM121" s="40"/>
      <c r="AN121" s="161" t="s">
        <v>27</v>
      </c>
      <c r="AO121" s="42"/>
      <c r="AP121" s="17"/>
      <c r="AQ121" s="41" t="s">
        <v>54</v>
      </c>
      <c r="AR121" s="40"/>
      <c r="AS121" s="42"/>
      <c r="AT121" s="11"/>
      <c r="AU121" s="16"/>
      <c r="AV121" s="54"/>
      <c r="AW121" s="10"/>
      <c r="AX121" s="11"/>
      <c r="AY121" s="16"/>
      <c r="AZ121" s="10"/>
      <c r="BA121" s="16"/>
      <c r="BB121" s="93"/>
      <c r="BC121" s="93"/>
      <c r="BD121" s="93"/>
      <c r="BF121" s="13"/>
      <c r="BG121" s="13"/>
    </row>
    <row r="122" spans="2:59" ht="12" thickBot="1">
      <c r="B122" s="381"/>
      <c r="C122" s="499" t="s">
        <v>246</v>
      </c>
      <c r="D122" s="54"/>
      <c r="E122" s="77"/>
      <c r="F122" s="62"/>
      <c r="G122" s="18" t="s">
        <v>60</v>
      </c>
      <c r="H122" s="18" t="s">
        <v>11</v>
      </c>
      <c r="I122" s="1" t="s">
        <v>43</v>
      </c>
      <c r="J122" s="1" t="s">
        <v>40</v>
      </c>
      <c r="K122" s="1" t="s">
        <v>40</v>
      </c>
      <c r="L122" s="1" t="s">
        <v>44</v>
      </c>
      <c r="M122" s="20" t="s">
        <v>40</v>
      </c>
      <c r="N122" s="1" t="s">
        <v>44</v>
      </c>
      <c r="O122" s="1" t="s">
        <v>40</v>
      </c>
      <c r="P122" s="1" t="s">
        <v>57</v>
      </c>
      <c r="Q122" s="19" t="s">
        <v>40</v>
      </c>
      <c r="R122" s="1" t="s">
        <v>12</v>
      </c>
      <c r="S122" s="1" t="s">
        <v>40</v>
      </c>
      <c r="T122" s="20" t="s">
        <v>35</v>
      </c>
      <c r="U122" s="21" t="s">
        <v>40</v>
      </c>
      <c r="V122" s="46" t="s">
        <v>45</v>
      </c>
      <c r="W122" s="284" t="s">
        <v>35</v>
      </c>
      <c r="X122" s="20" t="s">
        <v>24</v>
      </c>
      <c r="Y122" s="21" t="s">
        <v>22</v>
      </c>
      <c r="Z122" s="285" t="s">
        <v>31</v>
      </c>
      <c r="AA122" s="2" t="s">
        <v>31</v>
      </c>
      <c r="AB122" s="1" t="s">
        <v>31</v>
      </c>
      <c r="AC122" s="1" t="s">
        <v>31</v>
      </c>
      <c r="AD122" s="1" t="s">
        <v>31</v>
      </c>
      <c r="AE122" s="284" t="s">
        <v>31</v>
      </c>
      <c r="AF122" s="2" t="s">
        <v>11</v>
      </c>
      <c r="AG122" s="2" t="s">
        <v>11</v>
      </c>
      <c r="AH122" s="2" t="s">
        <v>11</v>
      </c>
      <c r="AI122" s="2" t="s">
        <v>11</v>
      </c>
      <c r="AJ122" s="21" t="s">
        <v>11</v>
      </c>
      <c r="AK122" s="46" t="s">
        <v>11</v>
      </c>
      <c r="AL122" s="285" t="s">
        <v>31</v>
      </c>
      <c r="AM122" s="284" t="s">
        <v>31</v>
      </c>
      <c r="AN122" s="286"/>
      <c r="AO122" s="2" t="s">
        <v>45</v>
      </c>
      <c r="AP122" s="21" t="s">
        <v>35</v>
      </c>
      <c r="AQ122" s="49" t="s">
        <v>23</v>
      </c>
      <c r="AR122" s="284" t="s">
        <v>31</v>
      </c>
      <c r="AS122" s="2" t="s">
        <v>11</v>
      </c>
      <c r="AT122" s="47" t="s">
        <v>38</v>
      </c>
      <c r="AU122" s="46" t="s">
        <v>45</v>
      </c>
      <c r="AV122" s="46" t="s">
        <v>45</v>
      </c>
      <c r="AW122" s="1" t="s">
        <v>40</v>
      </c>
      <c r="AX122" s="1" t="s">
        <v>40</v>
      </c>
      <c r="AY122" s="49" t="s">
        <v>38</v>
      </c>
      <c r="AZ122" s="2" t="s">
        <v>40</v>
      </c>
      <c r="BA122" s="21" t="s">
        <v>40</v>
      </c>
      <c r="BB122" s="49" t="s">
        <v>40</v>
      </c>
      <c r="BC122" s="61" t="s">
        <v>23</v>
      </c>
      <c r="BD122" s="62" t="s">
        <v>23</v>
      </c>
      <c r="BF122" s="13"/>
      <c r="BG122" s="13"/>
    </row>
    <row r="123" spans="2:59" ht="12" thickBot="1">
      <c r="B123" s="347">
        <v>4</v>
      </c>
      <c r="C123" s="511">
        <f>B123*R123*$H123/1000</f>
        <v>2.2</v>
      </c>
      <c r="D123" s="54"/>
      <c r="E123" s="184" t="s">
        <v>223</v>
      </c>
      <c r="F123" s="323" t="s">
        <v>230</v>
      </c>
      <c r="G123" s="305" t="s">
        <v>242</v>
      </c>
      <c r="H123" s="324">
        <v>22</v>
      </c>
      <c r="I123" s="325">
        <v>6.49</v>
      </c>
      <c r="J123" s="325">
        <v>13.7</v>
      </c>
      <c r="K123" s="326">
        <v>0.23</v>
      </c>
      <c r="L123" s="327">
        <v>50</v>
      </c>
      <c r="M123" s="99">
        <v>1.5</v>
      </c>
      <c r="N123" s="327">
        <v>4</v>
      </c>
      <c r="O123" s="325">
        <v>4</v>
      </c>
      <c r="P123" s="327">
        <v>115</v>
      </c>
      <c r="Q123" s="328">
        <v>123</v>
      </c>
      <c r="R123" s="325">
        <v>25</v>
      </c>
      <c r="S123" s="329">
        <f>MIN((R123/4)*12,Q123)</f>
        <v>75</v>
      </c>
      <c r="T123" s="330">
        <f>I123*L123</f>
        <v>324.5</v>
      </c>
      <c r="U123" s="331">
        <f>(I123*L123)/(0.85*N123*S123)</f>
        <v>1.272549019607843</v>
      </c>
      <c r="V123" s="332">
        <v>953.95</v>
      </c>
      <c r="W123" s="333">
        <f>0.6*L123*J123*K123</f>
        <v>94.53</v>
      </c>
      <c r="X123" s="99">
        <v>17.2</v>
      </c>
      <c r="Y123" s="334">
        <f>(T123/X123)*2</f>
        <v>37.73255813953489</v>
      </c>
      <c r="Z123" s="489">
        <v>1000</v>
      </c>
      <c r="AA123" s="490">
        <v>2870</v>
      </c>
      <c r="AB123" s="468">
        <v>153</v>
      </c>
      <c r="AC123" s="490">
        <v>5330</v>
      </c>
      <c r="AD123" s="490">
        <v>480</v>
      </c>
      <c r="AE123" s="337">
        <f>SUM(Z123:AD123)</f>
        <v>9833</v>
      </c>
      <c r="AF123" s="338">
        <f>H123</f>
        <v>22</v>
      </c>
      <c r="AG123" s="491">
        <f>30*(Q123/12)</f>
        <v>307.5</v>
      </c>
      <c r="AH123" s="492">
        <f>1.6*(Q123/12)</f>
        <v>16.400000000000002</v>
      </c>
      <c r="AI123" s="338">
        <f>29*(Q123/12)</f>
        <v>297.25</v>
      </c>
      <c r="AJ123" s="340">
        <v>520</v>
      </c>
      <c r="AK123" s="341">
        <f>SUM(AG123:AJ123)</f>
        <v>1141.15</v>
      </c>
      <c r="AL123" s="342">
        <v>4.8</v>
      </c>
      <c r="AM123" s="342">
        <f>115*(Q123/12)</f>
        <v>1178.75</v>
      </c>
      <c r="AN123" s="329">
        <f>IF(0.25+(15/($F$7*R123*(Q123/12))^0.5)&gt;0.5,IF(0.25+(15/($F$7*R123*(Q123/12))^0.5)&gt;1,1,0.25+(15/($F$7*R123*(Q123/12))^0.5)),0.5)</f>
        <v>0.9125891564490792</v>
      </c>
      <c r="AO123" s="329">
        <f>(1.2*(((AK123*R123*R123)/8000)+((AE123*R123)/4000)))+(1.6*(((AM123*R123*R123)/8000)+((AL123*R123)/4000)))</f>
        <v>328.12206249999997</v>
      </c>
      <c r="AP123" s="334">
        <f>(1.2*((AK123*R123*0.0005)+(AE123/2000)))+(1.6*((AM123*R123*0.0005)+(AL123/2000)))</f>
        <v>46.595890000000004</v>
      </c>
      <c r="AQ123" s="343" t="str">
        <f>IF(AND(V123&gt;AO123,W123&gt;AP123),"OK","NG")</f>
        <v>OK</v>
      </c>
      <c r="AR123" s="344">
        <f>Z123+AB123+AD123</f>
        <v>1633</v>
      </c>
      <c r="AS123" s="345">
        <f>AF123+AH123+AI123</f>
        <v>335.65</v>
      </c>
      <c r="AT123" s="328">
        <v>199</v>
      </c>
      <c r="AU123" s="346">
        <f>(AR123*R123*R123)/8000</f>
        <v>127.578125</v>
      </c>
      <c r="AV123" s="347"/>
      <c r="AW123" s="348">
        <v>2.638</v>
      </c>
      <c r="AX123" s="349">
        <f>O123-U123/2</f>
        <v>3.3637254901960785</v>
      </c>
      <c r="AY123" s="350">
        <v>535</v>
      </c>
      <c r="AZ123" s="351">
        <f>(5*((AS123/12))*((R123*12)^4))/(384*29000000*AT123)+((AR123*((R123*12)^3))/(48*29000000*AT123))</f>
        <v>0.6703537217336683</v>
      </c>
      <c r="BA123" s="346">
        <f>(5*((AM123/12))*((R123*12)^4))/(384*29000000*AY123)+((AL123*((R123*12)^3))/(48*29000000*AY123))</f>
        <v>0.6679218447873027</v>
      </c>
      <c r="BB123" s="352">
        <f>(R123/400)*12</f>
        <v>0.75</v>
      </c>
      <c r="BC123" s="353" t="str">
        <f>IF(AZ123&gt;BB123,"NG","OK")</f>
        <v>OK</v>
      </c>
      <c r="BD123" s="343" t="str">
        <f>IF(BA123&gt;BB123,"NG","OK")</f>
        <v>OK</v>
      </c>
      <c r="BF123" s="13"/>
      <c r="BG123" s="13"/>
    </row>
    <row r="124" spans="2:3" ht="11.25">
      <c r="B124" s="13"/>
      <c r="C124" s="318"/>
    </row>
    <row r="125" spans="58:59" ht="11.25">
      <c r="BF125" s="13"/>
      <c r="BG125" s="13"/>
    </row>
    <row r="126" spans="58:59" ht="11.25">
      <c r="BF126" s="13"/>
      <c r="BG126" s="13"/>
    </row>
    <row r="127" spans="58:59" ht="11.25">
      <c r="BF127" s="13"/>
      <c r="BG127" s="13"/>
    </row>
    <row r="128" spans="58:59" ht="11.25">
      <c r="BF128" s="13"/>
      <c r="BG128" s="13"/>
    </row>
    <row r="129" spans="58:59" ht="11.25">
      <c r="BF129" s="13"/>
      <c r="BG129" s="13"/>
    </row>
    <row r="130" spans="58:59" ht="11.25">
      <c r="BF130" s="13"/>
      <c r="BG130" s="1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 Engineering &amp; Construction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Craig</dc:creator>
  <cp:keywords/>
  <dc:description/>
  <cp:lastModifiedBy>Jerry Craig</cp:lastModifiedBy>
  <cp:lastPrinted>2010-02-23T16:53:51Z</cp:lastPrinted>
  <dcterms:created xsi:type="dcterms:W3CDTF">2009-10-30T19:31:23Z</dcterms:created>
  <dcterms:modified xsi:type="dcterms:W3CDTF">2010-03-03T01:14:49Z</dcterms:modified>
  <cp:category/>
  <cp:version/>
  <cp:contentType/>
  <cp:contentStatus/>
</cp:coreProperties>
</file>